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535" tabRatio="498" activeTab="1"/>
  </bookViews>
  <sheets>
    <sheet name="Notes" sheetId="1" r:id="rId1"/>
    <sheet name="GP Quick Calculator" sheetId="2" r:id="rId2"/>
  </sheets>
  <definedNames/>
  <calcPr fullCalcOnLoad="1"/>
</workbook>
</file>

<file path=xl/sharedStrings.xml><?xml version="1.0" encoding="utf-8"?>
<sst xmlns="http://schemas.openxmlformats.org/spreadsheetml/2006/main" count="84" uniqueCount="50">
  <si>
    <t>Input</t>
  </si>
  <si>
    <t>Result</t>
  </si>
  <si>
    <t>Reservoir Type (enter "1" for Combined and "2" for Inner reservoir):</t>
  </si>
  <si>
    <t>cm/min</t>
  </si>
  <si>
    <t>Enter water Head Height ("H" in cm):</t>
  </si>
  <si>
    <t>cm/sec</t>
  </si>
  <si>
    <t>Enter the Borehole Radius ("a" in cm):</t>
  </si>
  <si>
    <t>inch/min</t>
  </si>
  <si>
    <t>Enter the first water Head Height ("H1" in cm):</t>
  </si>
  <si>
    <t>inch/sec</t>
  </si>
  <si>
    <t>Enter the second water Head Height ("H2" in cm):</t>
  </si>
  <si>
    <t>Enter the soil texture-structure category (enter one of the below numbers):</t>
  </si>
  <si>
    <t>Steady State Rate of Water Level Change ("R" in cm/min):</t>
  </si>
  <si>
    <t>Res Type</t>
  </si>
  <si>
    <t>H</t>
  </si>
  <si>
    <t>a</t>
  </si>
  <si>
    <t>H/a</t>
  </si>
  <si>
    <t>a*</t>
  </si>
  <si>
    <t>Steady State Rate of Water Level Change ("R1" in cm/min):</t>
  </si>
  <si>
    <t>C0.01</t>
  </si>
  <si>
    <t>C0.04</t>
  </si>
  <si>
    <t>Steady State Rate of Water Level Change ("R2" in cm/min):</t>
  </si>
  <si>
    <t>C0.12</t>
  </si>
  <si>
    <t>C0.36</t>
  </si>
  <si>
    <t>C</t>
  </si>
  <si>
    <t>R</t>
  </si>
  <si>
    <t>Q</t>
  </si>
  <si>
    <t>pi</t>
  </si>
  <si>
    <t>Res Type:</t>
  </si>
  <si>
    <t>H1/a:</t>
  </si>
  <si>
    <t>H2/a:</t>
  </si>
  <si>
    <t>C1-0.01:</t>
  </si>
  <si>
    <t>C2-0.01:</t>
  </si>
  <si>
    <t>C1-0.04:</t>
  </si>
  <si>
    <t>C2-0.04:</t>
  </si>
  <si>
    <t>C1-0.12:</t>
  </si>
  <si>
    <t>C2-0.12:</t>
  </si>
  <si>
    <t>C1-0.36:</t>
  </si>
  <si>
    <t>C2-0.36:</t>
  </si>
  <si>
    <t>Support: ali@soilmoisture.com</t>
  </si>
  <si>
    <t>m/ses</t>
  </si>
  <si>
    <t>m/sec</t>
  </si>
  <si>
    <t>m/s</t>
  </si>
  <si>
    <t>Cells are not "Protected". If you are not sure, do not change the formulas.</t>
  </si>
  <si>
    <t>Support: ali@soilmoisture.com (Ali Farsad)</t>
  </si>
  <si>
    <t xml:space="preserve">Green cells are inputs. </t>
  </si>
  <si>
    <t>Yellow cells are results</t>
  </si>
  <si>
    <t>For detailed instructions please refer to Guelph Permeameter Operating Instructions.</t>
  </si>
  <si>
    <t>Last Update: 02/28/2012</t>
  </si>
  <si>
    <t>This spreadsheet is for private use only and the creater is not responsible for correctness and accuracy of the calculations.</t>
  </si>
</sst>
</file>

<file path=xl/styles.xml><?xml version="1.0" encoding="utf-8"?>
<styleSheet xmlns="http://schemas.openxmlformats.org/spreadsheetml/2006/main">
  <numFmts count="4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[$-409]h:mm:ss\ AM/PM"/>
    <numFmt numFmtId="179" formatCode="h:mm:ss;@"/>
    <numFmt numFmtId="180" formatCode="h:mm;@"/>
    <numFmt numFmtId="181" formatCode="0.0000"/>
    <numFmt numFmtId="182" formatCode="0.00000"/>
    <numFmt numFmtId="183" formatCode="0.000000"/>
    <numFmt numFmtId="184" formatCode="0.0E+00"/>
    <numFmt numFmtId="185" formatCode="0.00000000"/>
    <numFmt numFmtId="186" formatCode="0.0000000"/>
    <numFmt numFmtId="187" formatCode="0.000E+00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0.00000000000000000E+00"/>
    <numFmt numFmtId="202" formatCode="[$-409]h:mm:ss\ AM/PM;@"/>
  </numFmts>
  <fonts count="50">
    <font>
      <sz val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55"/>
      <name val="Calibri"/>
      <family val="2"/>
    </font>
    <font>
      <b/>
      <sz val="36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.8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3" applyNumberFormat="0" applyAlignment="0" applyProtection="0"/>
    <xf numFmtId="0" fontId="38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2" fillId="33" borderId="0" xfId="51" applyFont="1" applyFill="1" applyBorder="1" applyProtection="1">
      <alignment/>
      <protection/>
    </xf>
    <xf numFmtId="0" fontId="22" fillId="33" borderId="0" xfId="51" applyFont="1" applyFill="1" applyBorder="1" applyAlignment="1" applyProtection="1">
      <alignment horizontal="center"/>
      <protection/>
    </xf>
    <xf numFmtId="0" fontId="30" fillId="33" borderId="0" xfId="51" applyFont="1" applyFill="1" applyBorder="1" applyProtection="1">
      <alignment/>
      <protection/>
    </xf>
    <xf numFmtId="0" fontId="22" fillId="34" borderId="10" xfId="51" applyFont="1" applyFill="1" applyBorder="1" applyProtection="1">
      <alignment/>
      <protection/>
    </xf>
    <xf numFmtId="0" fontId="23" fillId="33" borderId="0" xfId="51" applyFont="1" applyFill="1" applyProtection="1">
      <alignment/>
      <protection/>
    </xf>
    <xf numFmtId="0" fontId="22" fillId="33" borderId="0" xfId="51" applyFont="1" applyFill="1" applyProtection="1">
      <alignment/>
      <protection/>
    </xf>
    <xf numFmtId="0" fontId="24" fillId="33" borderId="0" xfId="51" applyFont="1" applyFill="1" applyProtection="1">
      <alignment/>
      <protection/>
    </xf>
    <xf numFmtId="0" fontId="22" fillId="35" borderId="10" xfId="51" applyFont="1" applyFill="1" applyBorder="1" applyProtection="1">
      <alignment/>
      <protection/>
    </xf>
    <xf numFmtId="0" fontId="29" fillId="33" borderId="0" xfId="51" applyFill="1" applyBorder="1" applyProtection="1">
      <alignment/>
      <protection/>
    </xf>
    <xf numFmtId="0" fontId="22" fillId="33" borderId="11" xfId="51" applyFont="1" applyFill="1" applyBorder="1" applyProtection="1">
      <alignment/>
      <protection/>
    </xf>
    <xf numFmtId="0" fontId="22" fillId="33" borderId="12" xfId="51" applyFont="1" applyFill="1" applyBorder="1" applyProtection="1">
      <alignment/>
      <protection/>
    </xf>
    <xf numFmtId="0" fontId="22" fillId="33" borderId="12" xfId="51" applyFont="1" applyFill="1" applyBorder="1" applyAlignment="1" applyProtection="1">
      <alignment horizontal="center"/>
      <protection/>
    </xf>
    <xf numFmtId="0" fontId="22" fillId="33" borderId="13" xfId="51" applyFont="1" applyFill="1" applyBorder="1" applyProtection="1">
      <alignment/>
      <protection/>
    </xf>
    <xf numFmtId="0" fontId="30" fillId="33" borderId="12" xfId="51" applyFont="1" applyFill="1" applyBorder="1" applyProtection="1">
      <alignment/>
      <protection/>
    </xf>
    <xf numFmtId="0" fontId="22" fillId="33" borderId="11" xfId="51" applyFont="1" applyFill="1" applyBorder="1" applyAlignment="1" applyProtection="1">
      <alignment horizontal="center"/>
      <protection/>
    </xf>
    <xf numFmtId="0" fontId="29" fillId="33" borderId="11" xfId="51" applyFill="1" applyBorder="1" applyProtection="1">
      <alignment/>
      <protection/>
    </xf>
    <xf numFmtId="0" fontId="29" fillId="33" borderId="12" xfId="51" applyFill="1" applyBorder="1" applyProtection="1">
      <alignment/>
      <protection/>
    </xf>
    <xf numFmtId="0" fontId="29" fillId="33" borderId="13" xfId="51" applyFill="1" applyBorder="1" applyProtection="1">
      <alignment/>
      <protection/>
    </xf>
    <xf numFmtId="0" fontId="24" fillId="33" borderId="0" xfId="51" applyFont="1" applyFill="1" applyBorder="1" applyProtection="1">
      <alignment/>
      <protection/>
    </xf>
    <xf numFmtId="0" fontId="22" fillId="33" borderId="14" xfId="51" applyFont="1" applyFill="1" applyBorder="1" applyProtection="1">
      <alignment/>
      <protection/>
    </xf>
    <xf numFmtId="0" fontId="24" fillId="33" borderId="0" xfId="51" applyFont="1" applyFill="1" applyBorder="1" applyAlignment="1" applyProtection="1">
      <alignment horizontal="right"/>
      <protection/>
    </xf>
    <xf numFmtId="0" fontId="24" fillId="34" borderId="0" xfId="51" applyNumberFormat="1" applyFont="1" applyFill="1" applyBorder="1" applyAlignment="1" applyProtection="1">
      <alignment horizontal="center"/>
      <protection locked="0"/>
    </xf>
    <xf numFmtId="0" fontId="22" fillId="33" borderId="15" xfId="51" applyFont="1" applyFill="1" applyBorder="1" applyProtection="1">
      <alignment/>
      <protection/>
    </xf>
    <xf numFmtId="0" fontId="24" fillId="33" borderId="14" xfId="51" applyFont="1" applyFill="1" applyBorder="1" applyProtection="1">
      <alignment/>
      <protection/>
    </xf>
    <xf numFmtId="11" fontId="24" fillId="35" borderId="0" xfId="51" applyNumberFormat="1" applyFont="1" applyFill="1" applyBorder="1" applyAlignment="1" applyProtection="1">
      <alignment horizontal="center" vertical="center"/>
      <protection/>
    </xf>
    <xf numFmtId="0" fontId="25" fillId="33" borderId="15" xfId="51" applyFont="1" applyFill="1" applyBorder="1" applyProtection="1">
      <alignment/>
      <protection/>
    </xf>
    <xf numFmtId="0" fontId="29" fillId="33" borderId="14" xfId="51" applyFill="1" applyBorder="1" applyProtection="1">
      <alignment/>
      <protection/>
    </xf>
    <xf numFmtId="0" fontId="29" fillId="33" borderId="15" xfId="51" applyFill="1" applyBorder="1" applyProtection="1">
      <alignment/>
      <protection/>
    </xf>
    <xf numFmtId="0" fontId="24" fillId="34" borderId="0" xfId="51" applyFont="1" applyFill="1" applyBorder="1" applyAlignment="1" applyProtection="1">
      <alignment horizontal="center"/>
      <protection locked="0"/>
    </xf>
    <xf numFmtId="0" fontId="24" fillId="33" borderId="0" xfId="51" applyNumberFormat="1" applyFont="1" applyFill="1" applyBorder="1" applyAlignment="1" applyProtection="1">
      <alignment horizontal="center"/>
      <protection/>
    </xf>
    <xf numFmtId="0" fontId="24" fillId="33" borderId="0" xfId="51" applyFont="1" applyFill="1" applyBorder="1" applyAlignment="1" applyProtection="1">
      <alignment horizontal="center"/>
      <protection/>
    </xf>
    <xf numFmtId="49" fontId="22" fillId="33" borderId="0" xfId="51" applyNumberFormat="1" applyFont="1" applyFill="1" applyBorder="1" applyAlignment="1" applyProtection="1">
      <alignment horizontal="left" vertical="top"/>
      <protection/>
    </xf>
    <xf numFmtId="0" fontId="22" fillId="33" borderId="0" xfId="51" applyFont="1" applyFill="1" applyBorder="1" applyAlignment="1" applyProtection="1">
      <alignment horizontal="left" wrapText="1"/>
      <protection/>
    </xf>
    <xf numFmtId="0" fontId="22" fillId="33" borderId="0" xfId="51" applyFont="1" applyFill="1" applyBorder="1" applyAlignment="1" applyProtection="1">
      <alignment horizontal="left" vertical="top" wrapText="1"/>
      <protection/>
    </xf>
    <xf numFmtId="0" fontId="22" fillId="33" borderId="16" xfId="51" applyFont="1" applyFill="1" applyBorder="1" applyProtection="1">
      <alignment/>
      <protection/>
    </xf>
    <xf numFmtId="0" fontId="22" fillId="33" borderId="17" xfId="51" applyFont="1" applyFill="1" applyBorder="1" applyProtection="1">
      <alignment/>
      <protection/>
    </xf>
    <xf numFmtId="0" fontId="22" fillId="33" borderId="18" xfId="51" applyFont="1" applyFill="1" applyBorder="1" applyProtection="1">
      <alignment/>
      <protection/>
    </xf>
    <xf numFmtId="0" fontId="22" fillId="33" borderId="0" xfId="51" applyFont="1" applyFill="1" applyBorder="1" applyAlignment="1" applyProtection="1">
      <alignment horizontal="left" vertical="center" wrapText="1"/>
      <protection/>
    </xf>
    <xf numFmtId="0" fontId="31" fillId="33" borderId="0" xfId="51" applyFont="1" applyFill="1" applyBorder="1" applyProtection="1">
      <alignment/>
      <protection/>
    </xf>
    <xf numFmtId="0" fontId="31" fillId="33" borderId="14" xfId="51" applyFont="1" applyFill="1" applyBorder="1" applyProtection="1">
      <alignment/>
      <protection/>
    </xf>
    <xf numFmtId="49" fontId="31" fillId="33" borderId="0" xfId="51" applyNumberFormat="1" applyFont="1" applyFill="1" applyBorder="1" applyAlignment="1" applyProtection="1">
      <alignment horizontal="left" vertical="top"/>
      <protection/>
    </xf>
    <xf numFmtId="0" fontId="31" fillId="33" borderId="0" xfId="51" applyFont="1" applyFill="1" applyBorder="1" applyAlignment="1" applyProtection="1">
      <alignment horizontal="left" vertical="center" wrapText="1"/>
      <protection/>
    </xf>
    <xf numFmtId="0" fontId="30" fillId="33" borderId="14" xfId="51" applyFont="1" applyFill="1" applyBorder="1" applyProtection="1">
      <alignment/>
      <protection/>
    </xf>
    <xf numFmtId="0" fontId="48" fillId="33" borderId="0" xfId="51" applyFont="1" applyFill="1" applyBorder="1" applyProtection="1">
      <alignment/>
      <protection/>
    </xf>
    <xf numFmtId="0" fontId="48" fillId="33" borderId="0" xfId="51" applyFont="1" applyFill="1" applyBorder="1" applyAlignment="1" applyProtection="1">
      <alignment horizontal="right"/>
      <protection/>
    </xf>
    <xf numFmtId="0" fontId="48" fillId="33" borderId="0" xfId="51" applyFont="1" applyFill="1" applyBorder="1" applyAlignment="1" applyProtection="1">
      <alignment horizontal="center"/>
      <protection/>
    </xf>
    <xf numFmtId="0" fontId="24" fillId="35" borderId="0" xfId="51" applyFont="1" applyFill="1" applyBorder="1" applyAlignment="1" applyProtection="1">
      <alignment horizontal="center" vertical="center"/>
      <protection/>
    </xf>
    <xf numFmtId="0" fontId="24" fillId="35" borderId="0" xfId="51" applyFont="1" applyFill="1" applyBorder="1" applyAlignment="1" applyProtection="1">
      <alignment horizontal="center"/>
      <protection/>
    </xf>
    <xf numFmtId="0" fontId="24" fillId="33" borderId="0" xfId="51" applyFont="1" applyFill="1" applyBorder="1" applyAlignment="1" applyProtection="1">
      <alignment horizontal="center" vertical="center"/>
      <protection/>
    </xf>
    <xf numFmtId="176" fontId="48" fillId="33" borderId="0" xfId="51" applyNumberFormat="1" applyFont="1" applyFill="1" applyBorder="1" applyAlignment="1" applyProtection="1">
      <alignment horizontal="center"/>
      <protection/>
    </xf>
    <xf numFmtId="0" fontId="30" fillId="33" borderId="16" xfId="51" applyFont="1" applyFill="1" applyBorder="1" applyProtection="1">
      <alignment/>
      <protection/>
    </xf>
    <xf numFmtId="0" fontId="31" fillId="33" borderId="17" xfId="51" applyFont="1" applyFill="1" applyBorder="1" applyProtection="1">
      <alignment/>
      <protection/>
    </xf>
    <xf numFmtId="0" fontId="31" fillId="33" borderId="16" xfId="51" applyFont="1" applyFill="1" applyBorder="1" applyProtection="1">
      <alignment/>
      <protection/>
    </xf>
    <xf numFmtId="0" fontId="49" fillId="33" borderId="0" xfId="51" applyFont="1" applyFill="1" applyBorder="1" applyProtection="1">
      <alignment/>
      <protection/>
    </xf>
    <xf numFmtId="11" fontId="24" fillId="35" borderId="0" xfId="51" applyNumberFormat="1" applyFont="1" applyFill="1" applyBorder="1" applyAlignment="1" applyProtection="1">
      <alignment horizontal="center"/>
      <protection/>
    </xf>
    <xf numFmtId="0" fontId="29" fillId="33" borderId="17" xfId="51" applyFill="1" applyBorder="1" applyProtection="1">
      <alignment/>
      <protection/>
    </xf>
    <xf numFmtId="0" fontId="29" fillId="33" borderId="18" xfId="51" applyFill="1" applyBorder="1" applyProtection="1">
      <alignment/>
      <protection/>
    </xf>
    <xf numFmtId="181" fontId="24" fillId="34" borderId="0" xfId="51" applyNumberFormat="1" applyFont="1" applyFill="1" applyBorder="1" applyAlignment="1" applyProtection="1">
      <alignment horizontal="center"/>
      <protection/>
    </xf>
    <xf numFmtId="11" fontId="24" fillId="35" borderId="0" xfId="51" applyNumberFormat="1" applyFont="1" applyFill="1" applyBorder="1" applyProtection="1">
      <alignment/>
      <protection/>
    </xf>
    <xf numFmtId="11" fontId="24" fillId="35" borderId="17" xfId="51" applyNumberFormat="1" applyFont="1" applyFill="1" applyBorder="1" applyAlignment="1" applyProtection="1">
      <alignment horizontal="center" vertical="center"/>
      <protection/>
    </xf>
    <xf numFmtId="11" fontId="24" fillId="35" borderId="17" xfId="51" applyNumberFormat="1" applyFont="1" applyFill="1" applyBorder="1" applyAlignment="1" applyProtection="1">
      <alignment horizontal="center"/>
      <protection/>
    </xf>
    <xf numFmtId="0" fontId="29" fillId="33" borderId="0" xfId="51" applyFill="1" applyBorder="1" applyAlignment="1" applyProtection="1">
      <alignment horizontal="left"/>
      <protection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5</xdr:row>
      <xdr:rowOff>180975</xdr:rowOff>
    </xdr:to>
    <xdr:pic>
      <xdr:nvPicPr>
        <xdr:cNvPr id="1" name="Picture 4" descr="soilmoistureLogoCMY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14</xdr:row>
      <xdr:rowOff>28575</xdr:rowOff>
    </xdr:from>
    <xdr:to>
      <xdr:col>23</xdr:col>
      <xdr:colOff>190500</xdr:colOff>
      <xdr:row>24</xdr:row>
      <xdr:rowOff>57150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9431"/>
        <a:stretch>
          <a:fillRect/>
        </a:stretch>
      </xdr:blipFill>
      <xdr:spPr>
        <a:xfrm>
          <a:off x="942975" y="2828925"/>
          <a:ext cx="42862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</xdr:row>
      <xdr:rowOff>0</xdr:rowOff>
    </xdr:from>
    <xdr:to>
      <xdr:col>31</xdr:col>
      <xdr:colOff>28575</xdr:colOff>
      <xdr:row>5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66850" y="400050"/>
          <a:ext cx="6953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Guelph Permeameter Calculations</a:t>
          </a:r>
        </a:p>
      </xdr:txBody>
    </xdr:sp>
    <xdr:clientData/>
  </xdr:twoCellAnchor>
  <xdr:twoCellAnchor>
    <xdr:from>
      <xdr:col>1</xdr:col>
      <xdr:colOff>133350</xdr:colOff>
      <xdr:row>6</xdr:row>
      <xdr:rowOff>104775</xdr:rowOff>
    </xdr:from>
    <xdr:to>
      <xdr:col>11</xdr:col>
      <xdr:colOff>133350</xdr:colOff>
      <xdr:row>8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1304925"/>
          <a:ext cx="2219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Head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#1</a:t>
          </a:r>
        </a:p>
      </xdr:txBody>
    </xdr:sp>
    <xdr:clientData/>
  </xdr:twoCellAnchor>
  <xdr:twoCellAnchor editAs="oneCell">
    <xdr:from>
      <xdr:col>24</xdr:col>
      <xdr:colOff>38100</xdr:colOff>
      <xdr:row>38</xdr:row>
      <xdr:rowOff>123825</xdr:rowOff>
    </xdr:from>
    <xdr:to>
      <xdr:col>24</xdr:col>
      <xdr:colOff>561975</xdr:colOff>
      <xdr:row>40</xdr:row>
      <xdr:rowOff>0</xdr:rowOff>
    </xdr:to>
    <xdr:pic>
      <xdr:nvPicPr>
        <xdr:cNvPr id="4" name="Picture 172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00" y="7724775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33</xdr:row>
      <xdr:rowOff>9525</xdr:rowOff>
    </xdr:from>
    <xdr:to>
      <xdr:col>22</xdr:col>
      <xdr:colOff>190500</xdr:colOff>
      <xdr:row>34</xdr:row>
      <xdr:rowOff>47625</xdr:rowOff>
    </xdr:to>
    <xdr:pic>
      <xdr:nvPicPr>
        <xdr:cNvPr id="5" name="Picture 18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1525" y="66103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39</xdr:row>
      <xdr:rowOff>0</xdr:rowOff>
    </xdr:from>
    <xdr:to>
      <xdr:col>22</xdr:col>
      <xdr:colOff>200025</xdr:colOff>
      <xdr:row>40</xdr:row>
      <xdr:rowOff>19050</xdr:rowOff>
    </xdr:to>
    <xdr:pic>
      <xdr:nvPicPr>
        <xdr:cNvPr id="6" name="Picture 18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81525" y="7800975"/>
          <a:ext cx="447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30</xdr:row>
      <xdr:rowOff>28575</xdr:rowOff>
    </xdr:from>
    <xdr:to>
      <xdr:col>23</xdr:col>
      <xdr:colOff>9525</xdr:colOff>
      <xdr:row>30</xdr:row>
      <xdr:rowOff>180975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3925" y="6029325"/>
          <a:ext cx="314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31</xdr:row>
      <xdr:rowOff>47625</xdr:rowOff>
    </xdr:from>
    <xdr:to>
      <xdr:col>22</xdr:col>
      <xdr:colOff>200025</xdr:colOff>
      <xdr:row>32</xdr:row>
      <xdr:rowOff>9525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33925" y="62484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27</xdr:row>
      <xdr:rowOff>180975</xdr:rowOff>
    </xdr:from>
    <xdr:to>
      <xdr:col>22</xdr:col>
      <xdr:colOff>180975</xdr:colOff>
      <xdr:row>28</xdr:row>
      <xdr:rowOff>180975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0" y="5581650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27</xdr:row>
      <xdr:rowOff>142875</xdr:rowOff>
    </xdr:from>
    <xdr:to>
      <xdr:col>24</xdr:col>
      <xdr:colOff>476250</xdr:colOff>
      <xdr:row>29</xdr:row>
      <xdr:rowOff>19050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00" y="5543550"/>
          <a:ext cx="43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152400</xdr:colOff>
      <xdr:row>33</xdr:row>
      <xdr:rowOff>9525</xdr:rowOff>
    </xdr:from>
    <xdr:to>
      <xdr:col>44</xdr:col>
      <xdr:colOff>190500</xdr:colOff>
      <xdr:row>34</xdr:row>
      <xdr:rowOff>47625</xdr:rowOff>
    </xdr:to>
    <xdr:pic>
      <xdr:nvPicPr>
        <xdr:cNvPr id="11" name="Picture 18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01375" y="661035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161925</xdr:colOff>
      <xdr:row>39</xdr:row>
      <xdr:rowOff>0</xdr:rowOff>
    </xdr:from>
    <xdr:to>
      <xdr:col>45</xdr:col>
      <xdr:colOff>0</xdr:colOff>
      <xdr:row>40</xdr:row>
      <xdr:rowOff>19050</xdr:rowOff>
    </xdr:to>
    <xdr:pic>
      <xdr:nvPicPr>
        <xdr:cNvPr id="12" name="Picture 18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10900" y="780097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104775</xdr:colOff>
      <xdr:row>30</xdr:row>
      <xdr:rowOff>28575</xdr:rowOff>
    </xdr:from>
    <xdr:to>
      <xdr:col>45</xdr:col>
      <xdr:colOff>9525</xdr:colOff>
      <xdr:row>30</xdr:row>
      <xdr:rowOff>180975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63300" y="6029325"/>
          <a:ext cx="3238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104775</xdr:colOff>
      <xdr:row>31</xdr:row>
      <xdr:rowOff>47625</xdr:rowOff>
    </xdr:from>
    <xdr:to>
      <xdr:col>44</xdr:col>
      <xdr:colOff>200025</xdr:colOff>
      <xdr:row>32</xdr:row>
      <xdr:rowOff>9525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63300" y="6248400"/>
          <a:ext cx="304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38100</xdr:colOff>
      <xdr:row>27</xdr:row>
      <xdr:rowOff>180975</xdr:rowOff>
    </xdr:from>
    <xdr:to>
      <xdr:col>44</xdr:col>
      <xdr:colOff>180975</xdr:colOff>
      <xdr:row>28</xdr:row>
      <xdr:rowOff>180975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96625" y="5581650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27</xdr:row>
      <xdr:rowOff>142875</xdr:rowOff>
    </xdr:from>
    <xdr:to>
      <xdr:col>46</xdr:col>
      <xdr:colOff>447675</xdr:colOff>
      <xdr:row>29</xdr:row>
      <xdr:rowOff>19050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153900" y="55435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171450</xdr:colOff>
      <xdr:row>14</xdr:row>
      <xdr:rowOff>95250</xdr:rowOff>
    </xdr:from>
    <xdr:to>
      <xdr:col>45</xdr:col>
      <xdr:colOff>76200</xdr:colOff>
      <xdr:row>24</xdr:row>
      <xdr:rowOff>123825</xdr:rowOff>
    </xdr:to>
    <xdr:pic>
      <xdr:nvPicPr>
        <xdr:cNvPr id="17" name="Picture 9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9431"/>
        <a:stretch>
          <a:fillRect/>
        </a:stretch>
      </xdr:blipFill>
      <xdr:spPr>
        <a:xfrm>
          <a:off x="7277100" y="2895600"/>
          <a:ext cx="42767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6</xdr:row>
      <xdr:rowOff>104775</xdr:rowOff>
    </xdr:from>
    <xdr:to>
      <xdr:col>31</xdr:col>
      <xdr:colOff>38100</xdr:colOff>
      <xdr:row>8</xdr:row>
      <xdr:rowOff>95250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572250" y="1304925"/>
          <a:ext cx="1857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Head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#2</a:t>
          </a:r>
        </a:p>
      </xdr:txBody>
    </xdr:sp>
    <xdr:clientData/>
  </xdr:twoCellAnchor>
  <xdr:twoCellAnchor editAs="oneCell">
    <xdr:from>
      <xdr:col>73</xdr:col>
      <xdr:colOff>95250</xdr:colOff>
      <xdr:row>39</xdr:row>
      <xdr:rowOff>38100</xdr:rowOff>
    </xdr:from>
    <xdr:to>
      <xdr:col>74</xdr:col>
      <xdr:colOff>171450</xdr:colOff>
      <xdr:row>40</xdr:row>
      <xdr:rowOff>57150</xdr:rowOff>
    </xdr:to>
    <xdr:pic>
      <xdr:nvPicPr>
        <xdr:cNvPr id="19" name="Picture 137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812000" y="78390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66675</xdr:colOff>
      <xdr:row>41</xdr:row>
      <xdr:rowOff>9525</xdr:rowOff>
    </xdr:from>
    <xdr:to>
      <xdr:col>74</xdr:col>
      <xdr:colOff>171450</xdr:colOff>
      <xdr:row>42</xdr:row>
      <xdr:rowOff>19050</xdr:rowOff>
    </xdr:to>
    <xdr:pic>
      <xdr:nvPicPr>
        <xdr:cNvPr id="20" name="Picture 139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783425" y="8210550"/>
          <a:ext cx="314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43</xdr:row>
      <xdr:rowOff>9525</xdr:rowOff>
    </xdr:from>
    <xdr:to>
      <xdr:col>74</xdr:col>
      <xdr:colOff>171450</xdr:colOff>
      <xdr:row>44</xdr:row>
      <xdr:rowOff>38100</xdr:rowOff>
    </xdr:to>
    <xdr:pic>
      <xdr:nvPicPr>
        <xdr:cNvPr id="21" name="Picture 176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726275" y="8610600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19050</xdr:colOff>
      <xdr:row>45</xdr:row>
      <xdr:rowOff>9525</xdr:rowOff>
    </xdr:from>
    <xdr:to>
      <xdr:col>74</xdr:col>
      <xdr:colOff>171450</xdr:colOff>
      <xdr:row>46</xdr:row>
      <xdr:rowOff>28575</xdr:rowOff>
    </xdr:to>
    <xdr:pic>
      <xdr:nvPicPr>
        <xdr:cNvPr id="22" name="Picture 178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735800" y="9010650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0</xdr:colOff>
      <xdr:row>46</xdr:row>
      <xdr:rowOff>200025</xdr:rowOff>
    </xdr:from>
    <xdr:to>
      <xdr:col>74</xdr:col>
      <xdr:colOff>171450</xdr:colOff>
      <xdr:row>48</xdr:row>
      <xdr:rowOff>19050</xdr:rowOff>
    </xdr:to>
    <xdr:pic>
      <xdr:nvPicPr>
        <xdr:cNvPr id="23" name="Picture 180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716750" y="940117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28575</xdr:colOff>
      <xdr:row>48</xdr:row>
      <xdr:rowOff>200025</xdr:rowOff>
    </xdr:from>
    <xdr:to>
      <xdr:col>74</xdr:col>
      <xdr:colOff>171450</xdr:colOff>
      <xdr:row>50</xdr:row>
      <xdr:rowOff>19050</xdr:rowOff>
    </xdr:to>
    <xdr:pic>
      <xdr:nvPicPr>
        <xdr:cNvPr id="24" name="Picture 182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745325" y="9801225"/>
          <a:ext cx="352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200025</xdr:colOff>
      <xdr:row>51</xdr:row>
      <xdr:rowOff>9525</xdr:rowOff>
    </xdr:from>
    <xdr:to>
      <xdr:col>74</xdr:col>
      <xdr:colOff>133350</xdr:colOff>
      <xdr:row>52</xdr:row>
      <xdr:rowOff>38100</xdr:rowOff>
    </xdr:to>
    <xdr:pic>
      <xdr:nvPicPr>
        <xdr:cNvPr id="25" name="Picture 18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707225" y="1021080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19050</xdr:colOff>
      <xdr:row>57</xdr:row>
      <xdr:rowOff>9525</xdr:rowOff>
    </xdr:from>
    <xdr:to>
      <xdr:col>74</xdr:col>
      <xdr:colOff>180975</xdr:colOff>
      <xdr:row>58</xdr:row>
      <xdr:rowOff>19050</xdr:rowOff>
    </xdr:to>
    <xdr:pic>
      <xdr:nvPicPr>
        <xdr:cNvPr id="26" name="Picture 18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735800" y="11410950"/>
          <a:ext cx="371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209550</xdr:colOff>
      <xdr:row>34</xdr:row>
      <xdr:rowOff>9525</xdr:rowOff>
    </xdr:from>
    <xdr:to>
      <xdr:col>74</xdr:col>
      <xdr:colOff>190500</xdr:colOff>
      <xdr:row>35</xdr:row>
      <xdr:rowOff>28575</xdr:rowOff>
    </xdr:to>
    <xdr:pic>
      <xdr:nvPicPr>
        <xdr:cNvPr id="27" name="Picture 172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716750" y="681037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9525</xdr:colOff>
      <xdr:row>36</xdr:row>
      <xdr:rowOff>200025</xdr:rowOff>
    </xdr:from>
    <xdr:to>
      <xdr:col>74</xdr:col>
      <xdr:colOff>180975</xdr:colOff>
      <xdr:row>38</xdr:row>
      <xdr:rowOff>38100</xdr:rowOff>
    </xdr:to>
    <xdr:pic>
      <xdr:nvPicPr>
        <xdr:cNvPr id="28" name="Picture 174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726275" y="7400925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38100</xdr:colOff>
      <xdr:row>17</xdr:row>
      <xdr:rowOff>85725</xdr:rowOff>
    </xdr:from>
    <xdr:to>
      <xdr:col>75</xdr:col>
      <xdr:colOff>133350</xdr:colOff>
      <xdr:row>27</xdr:row>
      <xdr:rowOff>114300</xdr:rowOff>
    </xdr:to>
    <xdr:pic>
      <xdr:nvPicPr>
        <xdr:cNvPr id="29" name="Picture 9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9431"/>
        <a:stretch>
          <a:fillRect/>
        </a:stretch>
      </xdr:blipFill>
      <xdr:spPr>
        <a:xfrm>
          <a:off x="15973425" y="3486150"/>
          <a:ext cx="42957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123825</xdr:colOff>
      <xdr:row>6</xdr:row>
      <xdr:rowOff>95250</xdr:rowOff>
    </xdr:from>
    <xdr:to>
      <xdr:col>67</xdr:col>
      <xdr:colOff>123825</xdr:colOff>
      <xdr:row>8</xdr:row>
      <xdr:rowOff>85725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5116175" y="1295400"/>
          <a:ext cx="3467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Two Head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Method</a:t>
          </a:r>
        </a:p>
      </xdr:txBody>
    </xdr:sp>
    <xdr:clientData/>
  </xdr:twoCellAnchor>
  <xdr:twoCellAnchor editAs="oneCell">
    <xdr:from>
      <xdr:col>73</xdr:col>
      <xdr:colOff>95250</xdr:colOff>
      <xdr:row>27</xdr:row>
      <xdr:rowOff>190500</xdr:rowOff>
    </xdr:from>
    <xdr:to>
      <xdr:col>75</xdr:col>
      <xdr:colOff>19050</xdr:colOff>
      <xdr:row>28</xdr:row>
      <xdr:rowOff>190500</xdr:rowOff>
    </xdr:to>
    <xdr:pic>
      <xdr:nvPicPr>
        <xdr:cNvPr id="31" name="Picture 18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812000" y="5591175"/>
          <a:ext cx="342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38100</xdr:colOff>
      <xdr:row>27</xdr:row>
      <xdr:rowOff>142875</xdr:rowOff>
    </xdr:from>
    <xdr:to>
      <xdr:col>76</xdr:col>
      <xdr:colOff>447675</xdr:colOff>
      <xdr:row>29</xdr:row>
      <xdr:rowOff>19050</xdr:rowOff>
    </xdr:to>
    <xdr:pic>
      <xdr:nvPicPr>
        <xdr:cNvPr id="32" name="Picture 2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812125" y="55435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38</xdr:row>
      <xdr:rowOff>133350</xdr:rowOff>
    </xdr:from>
    <xdr:to>
      <xdr:col>46</xdr:col>
      <xdr:colOff>542925</xdr:colOff>
      <xdr:row>40</xdr:row>
      <xdr:rowOff>9525</xdr:rowOff>
    </xdr:to>
    <xdr:pic>
      <xdr:nvPicPr>
        <xdr:cNvPr id="33" name="Picture 172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134850" y="773430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19050</xdr:colOff>
      <xdr:row>56</xdr:row>
      <xdr:rowOff>123825</xdr:rowOff>
    </xdr:from>
    <xdr:to>
      <xdr:col>76</xdr:col>
      <xdr:colOff>542925</xdr:colOff>
      <xdr:row>58</xdr:row>
      <xdr:rowOff>0</xdr:rowOff>
    </xdr:to>
    <xdr:pic>
      <xdr:nvPicPr>
        <xdr:cNvPr id="34" name="Picture 172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793075" y="11325225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0</xdr:colOff>
      <xdr:row>6</xdr:row>
      <xdr:rowOff>76200</xdr:rowOff>
    </xdr:from>
    <xdr:to>
      <xdr:col>52</xdr:col>
      <xdr:colOff>219075</xdr:colOff>
      <xdr:row>8</xdr:row>
      <xdr:rowOff>66675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2925425" y="1276350"/>
          <a:ext cx="1590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Average</a:t>
          </a:r>
        </a:p>
      </xdr:txBody>
    </xdr:sp>
    <xdr:clientData/>
  </xdr:twoCellAnchor>
  <xdr:twoCellAnchor editAs="oneCell">
    <xdr:from>
      <xdr:col>48</xdr:col>
      <xdr:colOff>152400</xdr:colOff>
      <xdr:row>9</xdr:row>
      <xdr:rowOff>9525</xdr:rowOff>
    </xdr:from>
    <xdr:to>
      <xdr:col>50</xdr:col>
      <xdr:colOff>190500</xdr:colOff>
      <xdr:row>10</xdr:row>
      <xdr:rowOff>47625</xdr:rowOff>
    </xdr:to>
    <xdr:pic>
      <xdr:nvPicPr>
        <xdr:cNvPr id="36" name="Picture 18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077825" y="1809750"/>
          <a:ext cx="476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152400</xdr:colOff>
      <xdr:row>15</xdr:row>
      <xdr:rowOff>0</xdr:rowOff>
    </xdr:from>
    <xdr:to>
      <xdr:col>50</xdr:col>
      <xdr:colOff>200025</xdr:colOff>
      <xdr:row>16</xdr:row>
      <xdr:rowOff>19050</xdr:rowOff>
    </xdr:to>
    <xdr:pic>
      <xdr:nvPicPr>
        <xdr:cNvPr id="37" name="Picture 18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077825" y="3000375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14</xdr:row>
      <xdr:rowOff>123825</xdr:rowOff>
    </xdr:from>
    <xdr:to>
      <xdr:col>52</xdr:col>
      <xdr:colOff>523875</xdr:colOff>
      <xdr:row>16</xdr:row>
      <xdr:rowOff>0</xdr:rowOff>
    </xdr:to>
    <xdr:pic>
      <xdr:nvPicPr>
        <xdr:cNvPr id="38" name="Picture 172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97025" y="2924175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85725</xdr:colOff>
      <xdr:row>16</xdr:row>
      <xdr:rowOff>180975</xdr:rowOff>
    </xdr:from>
    <xdr:to>
      <xdr:col>52</xdr:col>
      <xdr:colOff>533400</xdr:colOff>
      <xdr:row>40</xdr:row>
      <xdr:rowOff>95250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30225" y="3381375"/>
          <a:ext cx="1600200" cy="471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7</xdr:col>
      <xdr:colOff>219075</xdr:colOff>
      <xdr:row>5</xdr:row>
      <xdr:rowOff>180975</xdr:rowOff>
    </xdr:to>
    <xdr:pic>
      <xdr:nvPicPr>
        <xdr:cNvPr id="40" name="Picture 4" descr="soilmoistureLogoCMYK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0"/>
          <a:ext cx="1562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219075</xdr:colOff>
      <xdr:row>49</xdr:row>
      <xdr:rowOff>85725</xdr:rowOff>
    </xdr:from>
    <xdr:to>
      <xdr:col>52</xdr:col>
      <xdr:colOff>647700</xdr:colOff>
      <xdr:row>71</xdr:row>
      <xdr:rowOff>123825</xdr:rowOff>
    </xdr:to>
    <xdr:pic>
      <xdr:nvPicPr>
        <xdr:cNvPr id="41" name="Picture 160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581900" y="9886950"/>
          <a:ext cx="736282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19050</xdr:rowOff>
    </xdr:from>
    <xdr:to>
      <xdr:col>27</xdr:col>
      <xdr:colOff>238125</xdr:colOff>
      <xdr:row>74</xdr:row>
      <xdr:rowOff>66675</xdr:rowOff>
    </xdr:to>
    <xdr:pic>
      <xdr:nvPicPr>
        <xdr:cNvPr id="42" name="Picture 160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9620250"/>
          <a:ext cx="734377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45</xdr:row>
      <xdr:rowOff>66675</xdr:rowOff>
    </xdr:from>
    <xdr:to>
      <xdr:col>28</xdr:col>
      <xdr:colOff>38100</xdr:colOff>
      <xdr:row>47</xdr:row>
      <xdr:rowOff>133350</xdr:rowOff>
    </xdr:to>
    <xdr:pic>
      <xdr:nvPicPr>
        <xdr:cNvPr id="43" name="Picture 160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7150" y="9067800"/>
          <a:ext cx="7343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45</xdr:row>
      <xdr:rowOff>114300</xdr:rowOff>
    </xdr:from>
    <xdr:to>
      <xdr:col>52</xdr:col>
      <xdr:colOff>676275</xdr:colOff>
      <xdr:row>48</xdr:row>
      <xdr:rowOff>171450</xdr:rowOff>
    </xdr:to>
    <xdr:pic>
      <xdr:nvPicPr>
        <xdr:cNvPr id="44" name="Picture 160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610475" y="9115425"/>
          <a:ext cx="7362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E18"/>
  <sheetViews>
    <sheetView zoomScalePageLayoutView="0" workbookViewId="0" topLeftCell="A1">
      <selection activeCell="D19" sqref="D19"/>
    </sheetView>
  </sheetViews>
  <sheetFormatPr defaultColWidth="8.88671875" defaultRowHeight="15"/>
  <cols>
    <col min="1" max="16384" width="8.88671875" style="63" customWidth="1"/>
  </cols>
  <sheetData>
    <row r="9" ht="15.75">
      <c r="B9" s="63" t="s">
        <v>45</v>
      </c>
    </row>
    <row r="10" ht="15.75">
      <c r="B10" s="63" t="s">
        <v>46</v>
      </c>
    </row>
    <row r="11" ht="15.75">
      <c r="B11" s="63" t="s">
        <v>43</v>
      </c>
    </row>
    <row r="13" ht="15.75">
      <c r="B13" s="63" t="s">
        <v>49</v>
      </c>
    </row>
    <row r="14" ht="15.75">
      <c r="B14" s="63" t="s">
        <v>47</v>
      </c>
    </row>
    <row r="17" spans="2:5" ht="15.75">
      <c r="B17" s="64" t="s">
        <v>48</v>
      </c>
      <c r="C17" s="64"/>
      <c r="D17" s="64"/>
      <c r="E17" s="64"/>
    </row>
    <row r="18" spans="2:5" ht="15.75">
      <c r="B18" s="64" t="s">
        <v>44</v>
      </c>
      <c r="C18" s="64"/>
      <c r="D18" s="64"/>
      <c r="E18" s="6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B72"/>
  <sheetViews>
    <sheetView tabSelected="1" zoomScale="80" zoomScaleNormal="80" zoomScalePageLayoutView="0" workbookViewId="0" topLeftCell="AH1">
      <selection activeCell="Y40" sqref="Y40"/>
    </sheetView>
  </sheetViews>
  <sheetFormatPr defaultColWidth="8.88671875" defaultRowHeight="15"/>
  <cols>
    <col min="1" max="2" width="2.3359375" style="1" customWidth="1"/>
    <col min="3" max="3" width="2.10546875" style="1" customWidth="1"/>
    <col min="4" max="7" width="2.3359375" style="1" customWidth="1"/>
    <col min="8" max="8" width="5.10546875" style="1" customWidth="1"/>
    <col min="9" max="14" width="2.3359375" style="1" customWidth="1"/>
    <col min="15" max="15" width="4.6640625" style="1" customWidth="1"/>
    <col min="16" max="16" width="2.3359375" style="1" customWidth="1"/>
    <col min="17" max="17" width="2.4453125" style="1" customWidth="1"/>
    <col min="18" max="22" width="2.3359375" style="1" customWidth="1"/>
    <col min="23" max="23" width="2.4453125" style="1" customWidth="1"/>
    <col min="24" max="24" width="7.4453125" style="2" customWidth="1"/>
    <col min="25" max="25" width="7.88671875" style="1" customWidth="1"/>
    <col min="26" max="26" width="2.88671875" style="1" customWidth="1"/>
    <col min="27" max="27" width="5.88671875" style="1" customWidth="1"/>
    <col min="28" max="28" width="2.99609375" style="3" customWidth="1"/>
    <col min="29" max="29" width="2.6640625" style="1" customWidth="1"/>
    <col min="30" max="30" width="6.88671875" style="1" customWidth="1"/>
    <col min="31" max="33" width="2.4453125" style="1" customWidth="1"/>
    <col min="34" max="34" width="2.5546875" style="1" customWidth="1"/>
    <col min="35" max="36" width="2.4453125" style="1" customWidth="1"/>
    <col min="37" max="37" width="1.77734375" style="1" customWidth="1"/>
    <col min="38" max="38" width="4.77734375" style="1" customWidth="1"/>
    <col min="39" max="45" width="2.4453125" style="1" customWidth="1"/>
    <col min="46" max="46" width="7.4453125" style="1" customWidth="1"/>
    <col min="47" max="47" width="7.3359375" style="1" customWidth="1"/>
    <col min="48" max="48" width="2.10546875" style="2" customWidth="1"/>
    <col min="49" max="51" width="2.5546875" style="2" customWidth="1"/>
    <col min="52" max="52" width="8.3359375" style="2" customWidth="1"/>
    <col min="53" max="53" width="8.10546875" style="1" customWidth="1"/>
    <col min="54" max="54" width="2.4453125" style="1" customWidth="1"/>
    <col min="55" max="55" width="3.6640625" style="1" customWidth="1"/>
    <col min="56" max="61" width="2.4453125" style="1" customWidth="1"/>
    <col min="62" max="62" width="7.4453125" style="1" customWidth="1"/>
    <col min="63" max="75" width="2.4453125" style="1" customWidth="1"/>
    <col min="76" max="77" width="7.4453125" style="1" customWidth="1"/>
    <col min="78" max="102" width="2.4453125" style="1" customWidth="1"/>
    <col min="103" max="16384" width="8.88671875" style="1" customWidth="1"/>
  </cols>
  <sheetData>
    <row r="1" ht="15.75" customHeight="1"/>
    <row r="2" ht="15.75" customHeight="1"/>
    <row r="3" spans="40:52" ht="15.75" customHeight="1">
      <c r="AN3" s="4"/>
      <c r="AO3" s="5" t="s">
        <v>0</v>
      </c>
      <c r="AV3" s="1"/>
      <c r="AW3" s="1"/>
      <c r="AX3" s="1"/>
      <c r="AY3" s="1"/>
      <c r="AZ3" s="1"/>
    </row>
    <row r="4" spans="40:52" ht="15.75" customHeight="1">
      <c r="AN4" s="6"/>
      <c r="AO4" s="7"/>
      <c r="AV4" s="1"/>
      <c r="AW4" s="1"/>
      <c r="AX4" s="1"/>
      <c r="AY4" s="1"/>
      <c r="AZ4" s="1"/>
    </row>
    <row r="5" spans="40:52" ht="15.75" customHeight="1">
      <c r="AN5" s="8"/>
      <c r="AO5" s="5" t="s">
        <v>1</v>
      </c>
      <c r="AV5" s="1"/>
      <c r="AW5" s="1"/>
      <c r="AX5" s="1"/>
      <c r="AY5" s="1"/>
      <c r="AZ5" s="1"/>
    </row>
    <row r="6" spans="48:52" ht="15.75" customHeight="1">
      <c r="AV6" s="1"/>
      <c r="AW6" s="1"/>
      <c r="AX6" s="1"/>
      <c r="AY6" s="1"/>
      <c r="AZ6" s="1"/>
    </row>
    <row r="7" spans="40:80" ht="15.75" customHeight="1">
      <c r="AN7" s="62" t="s">
        <v>39</v>
      </c>
      <c r="AV7" s="1"/>
      <c r="AW7" s="1"/>
      <c r="AX7" s="1"/>
      <c r="AY7" s="1"/>
      <c r="AZ7" s="1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</row>
    <row r="8" spans="48:52" ht="15.75" customHeight="1">
      <c r="AV8" s="1"/>
      <c r="AW8" s="1"/>
      <c r="AX8" s="1"/>
      <c r="AY8" s="1"/>
      <c r="AZ8" s="1"/>
    </row>
    <row r="9" spans="3:80" ht="15.75" customHeight="1"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13"/>
      <c r="AA9" s="10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2"/>
      <c r="AU9" s="13"/>
      <c r="AV9" s="1"/>
      <c r="AW9" s="15"/>
      <c r="AX9" s="12"/>
      <c r="AY9" s="12"/>
      <c r="AZ9" s="12"/>
      <c r="BA9" s="13"/>
      <c r="BC9" s="16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8"/>
      <c r="BZ9" s="9"/>
      <c r="CA9" s="9"/>
      <c r="CB9" s="9"/>
    </row>
    <row r="10" spans="3:80" ht="15.75" customHeight="1">
      <c r="C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1" t="s">
        <v>2</v>
      </c>
      <c r="X10" s="22">
        <v>2</v>
      </c>
      <c r="Y10" s="23"/>
      <c r="AA10" s="24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1" t="s">
        <v>2</v>
      </c>
      <c r="AT10" s="22">
        <v>2</v>
      </c>
      <c r="AU10" s="23"/>
      <c r="AV10" s="1"/>
      <c r="AW10" s="20"/>
      <c r="AX10" s="1"/>
      <c r="AY10" s="1"/>
      <c r="AZ10" s="25">
        <f>AZ11/60</f>
        <v>5.215005979565153E-06</v>
      </c>
      <c r="BA10" s="26" t="s">
        <v>5</v>
      </c>
      <c r="BC10" s="27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21" t="s">
        <v>2</v>
      </c>
      <c r="BX10" s="22">
        <v>2</v>
      </c>
      <c r="BY10" s="28"/>
      <c r="BZ10" s="9"/>
      <c r="CA10" s="9"/>
      <c r="CB10" s="9"/>
    </row>
    <row r="11" spans="3:80" ht="15.75" customHeight="1">
      <c r="C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1" t="s">
        <v>4</v>
      </c>
      <c r="X11" s="29">
        <v>5</v>
      </c>
      <c r="Y11" s="23"/>
      <c r="AA11" s="24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1" t="s">
        <v>4</v>
      </c>
      <c r="AT11" s="29">
        <v>10</v>
      </c>
      <c r="AU11" s="23"/>
      <c r="AV11" s="1"/>
      <c r="AW11" s="20"/>
      <c r="AX11" s="1"/>
      <c r="AY11" s="1"/>
      <c r="AZ11" s="25">
        <f>((AT35+X35)/2)</f>
        <v>0.0003129003587739092</v>
      </c>
      <c r="BA11" s="26" t="s">
        <v>3</v>
      </c>
      <c r="BC11" s="27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1"/>
      <c r="BX11" s="30"/>
      <c r="BY11" s="28"/>
      <c r="BZ11" s="9"/>
      <c r="CA11" s="9"/>
      <c r="CB11" s="9"/>
    </row>
    <row r="12" spans="3:80" ht="15.75" customHeight="1">
      <c r="C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1" t="s">
        <v>6</v>
      </c>
      <c r="X12" s="29">
        <v>3</v>
      </c>
      <c r="Y12" s="23"/>
      <c r="AA12" s="24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1" t="s">
        <v>6</v>
      </c>
      <c r="AT12" s="29">
        <v>3</v>
      </c>
      <c r="AU12" s="23"/>
      <c r="AW12" s="20"/>
      <c r="AX12" s="1"/>
      <c r="AY12" s="1"/>
      <c r="AZ12" s="55">
        <f>AZ10/100</f>
        <v>5.215005979565153E-08</v>
      </c>
      <c r="BA12" s="26" t="s">
        <v>42</v>
      </c>
      <c r="BC12" s="27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21" t="s">
        <v>8</v>
      </c>
      <c r="BX12" s="29">
        <v>5</v>
      </c>
      <c r="BY12" s="28"/>
      <c r="BZ12" s="9"/>
      <c r="CA12" s="9"/>
      <c r="CB12" s="9"/>
    </row>
    <row r="13" spans="3:80" ht="15.75" customHeight="1">
      <c r="C13" s="20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1"/>
      <c r="X13" s="31"/>
      <c r="Y13" s="23"/>
      <c r="AA13" s="24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1"/>
      <c r="AT13" s="31"/>
      <c r="AU13" s="23"/>
      <c r="AV13" s="1"/>
      <c r="AW13" s="20"/>
      <c r="AX13" s="1"/>
      <c r="AY13" s="1"/>
      <c r="AZ13" s="25">
        <f>AZ11*0.393700787</f>
        <v>0.0001231891175018704</v>
      </c>
      <c r="BA13" s="26" t="s">
        <v>7</v>
      </c>
      <c r="BC13" s="27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21" t="s">
        <v>10</v>
      </c>
      <c r="BX13" s="29">
        <v>10</v>
      </c>
      <c r="BY13" s="28"/>
      <c r="BZ13" s="9"/>
      <c r="CA13" s="9"/>
      <c r="CB13" s="9"/>
    </row>
    <row r="14" spans="3:80" ht="15.75" customHeight="1">
      <c r="C14" s="2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1" t="s">
        <v>11</v>
      </c>
      <c r="X14" s="29">
        <v>2</v>
      </c>
      <c r="Y14" s="23"/>
      <c r="AA14" s="20"/>
      <c r="AB14" s="1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1" t="s">
        <v>11</v>
      </c>
      <c r="AT14" s="29">
        <v>2</v>
      </c>
      <c r="AU14" s="23"/>
      <c r="AV14" s="1"/>
      <c r="AW14" s="20"/>
      <c r="AX14" s="1"/>
      <c r="AY14" s="1"/>
      <c r="AZ14" s="25">
        <f>AZ13/60</f>
        <v>2.0531519583645068E-06</v>
      </c>
      <c r="BA14" s="26" t="s">
        <v>9</v>
      </c>
      <c r="BC14" s="27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21"/>
      <c r="BX14" s="31"/>
      <c r="BY14" s="28"/>
      <c r="BZ14" s="9"/>
      <c r="CA14" s="9"/>
      <c r="CB14" s="9"/>
    </row>
    <row r="15" spans="3:80" ht="15.75" customHeight="1">
      <c r="C15" s="20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23"/>
      <c r="AA15" s="20"/>
      <c r="AB15" s="3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23"/>
      <c r="AV15" s="1"/>
      <c r="AW15" s="20"/>
      <c r="AX15" s="1"/>
      <c r="AY15" s="1"/>
      <c r="BA15" s="23"/>
      <c r="BC15" s="27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1" t="s">
        <v>6</v>
      </c>
      <c r="BX15" s="29">
        <v>3</v>
      </c>
      <c r="BY15" s="28"/>
      <c r="BZ15" s="9"/>
      <c r="CA15" s="9"/>
      <c r="CB15" s="9"/>
    </row>
    <row r="16" spans="3:80" ht="15.75" customHeight="1">
      <c r="C16" s="20"/>
      <c r="F16" s="32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23"/>
      <c r="AA16" s="20"/>
      <c r="AB16" s="32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23"/>
      <c r="AV16" s="1"/>
      <c r="AW16" s="35"/>
      <c r="AX16" s="36"/>
      <c r="AY16" s="36"/>
      <c r="AZ16" s="60">
        <f>(X40+AT40)/2</f>
        <v>0.00013037514948912882</v>
      </c>
      <c r="BA16" s="37"/>
      <c r="BC16" s="27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1"/>
      <c r="BX16" s="31"/>
      <c r="BY16" s="28"/>
      <c r="BZ16" s="9"/>
      <c r="CA16" s="9"/>
      <c r="CB16" s="9"/>
    </row>
    <row r="17" spans="3:80" ht="15.75" customHeight="1">
      <c r="C17" s="20"/>
      <c r="F17" s="32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23"/>
      <c r="AA17" s="20"/>
      <c r="AB17" s="32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23"/>
      <c r="BC17" s="27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19"/>
      <c r="BW17" s="21" t="s">
        <v>11</v>
      </c>
      <c r="BX17" s="29">
        <v>2</v>
      </c>
      <c r="BY17" s="28"/>
      <c r="BZ17" s="9"/>
      <c r="CA17" s="9"/>
      <c r="CB17" s="9"/>
    </row>
    <row r="18" spans="1:80" ht="15.75" customHeight="1">
      <c r="A18" s="39"/>
      <c r="B18" s="39"/>
      <c r="C18" s="40"/>
      <c r="D18" s="39"/>
      <c r="E18" s="39"/>
      <c r="F18" s="41"/>
      <c r="G18" s="42"/>
      <c r="H18" s="42"/>
      <c r="I18" s="42"/>
      <c r="J18" s="42"/>
      <c r="K18" s="42"/>
      <c r="L18" s="42"/>
      <c r="M18" s="42"/>
      <c r="N18" s="42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23"/>
      <c r="AA18" s="40"/>
      <c r="AB18" s="41"/>
      <c r="AC18" s="42"/>
      <c r="AD18" s="42"/>
      <c r="AE18" s="42"/>
      <c r="AF18" s="42"/>
      <c r="AG18" s="42"/>
      <c r="AH18" s="42"/>
      <c r="AI18" s="42"/>
      <c r="AJ18" s="42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23"/>
      <c r="BC18" s="27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28"/>
      <c r="BZ18" s="9"/>
      <c r="CA18" s="9"/>
      <c r="CB18" s="9"/>
    </row>
    <row r="19" spans="1:80" ht="15.75" customHeight="1">
      <c r="A19" s="39"/>
      <c r="B19" s="39"/>
      <c r="C19" s="40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Y19" s="23"/>
      <c r="AA19" s="40"/>
      <c r="AB19" s="39"/>
      <c r="AC19" s="39"/>
      <c r="AD19" s="39"/>
      <c r="AE19" s="39"/>
      <c r="AF19" s="39"/>
      <c r="AG19" s="39"/>
      <c r="AH19" s="39"/>
      <c r="AI19" s="39"/>
      <c r="AJ19" s="39"/>
      <c r="AT19" s="2"/>
      <c r="AU19" s="23"/>
      <c r="BC19" s="27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28"/>
      <c r="BZ19" s="9"/>
      <c r="CA19" s="9"/>
      <c r="CB19" s="9"/>
    </row>
    <row r="20" spans="1:80" ht="15.75" customHeight="1">
      <c r="A20" s="39"/>
      <c r="B20" s="39"/>
      <c r="C20" s="4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Y20" s="23"/>
      <c r="AA20" s="40"/>
      <c r="AB20" s="39"/>
      <c r="AC20" s="39"/>
      <c r="AD20" s="39"/>
      <c r="AE20" s="39"/>
      <c r="AF20" s="39"/>
      <c r="AG20" s="39"/>
      <c r="AH20" s="39"/>
      <c r="AI20" s="39"/>
      <c r="AJ20" s="39"/>
      <c r="AT20" s="2"/>
      <c r="AU20" s="23"/>
      <c r="BC20" s="27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28"/>
      <c r="BZ20" s="9"/>
      <c r="CA20" s="9"/>
      <c r="CB20" s="9"/>
    </row>
    <row r="21" spans="1:80" ht="15.75" customHeight="1">
      <c r="A21" s="39"/>
      <c r="B21" s="39"/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Y21" s="23"/>
      <c r="AA21" s="40"/>
      <c r="AB21" s="39"/>
      <c r="AC21" s="39"/>
      <c r="AD21" s="39"/>
      <c r="AE21" s="39"/>
      <c r="AF21" s="39"/>
      <c r="AG21" s="39"/>
      <c r="AH21" s="39"/>
      <c r="AI21" s="39"/>
      <c r="AJ21" s="39"/>
      <c r="AT21" s="2"/>
      <c r="AU21" s="23"/>
      <c r="BC21" s="27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28"/>
      <c r="BZ21" s="9"/>
      <c r="CA21" s="9"/>
      <c r="CB21" s="9"/>
    </row>
    <row r="22" spans="1:80" ht="15.75" customHeight="1">
      <c r="A22" s="39"/>
      <c r="B22" s="39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Y22" s="23"/>
      <c r="AA22" s="40"/>
      <c r="AB22" s="39"/>
      <c r="AC22" s="39"/>
      <c r="AD22" s="39"/>
      <c r="AE22" s="39"/>
      <c r="AF22" s="39"/>
      <c r="AG22" s="39"/>
      <c r="AH22" s="39"/>
      <c r="AI22" s="39"/>
      <c r="AJ22" s="39"/>
      <c r="AT22" s="2"/>
      <c r="AU22" s="23"/>
      <c r="BC22" s="27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28"/>
      <c r="BZ22" s="9"/>
      <c r="CA22" s="9"/>
      <c r="CB22" s="9"/>
    </row>
    <row r="23" spans="1:80" ht="15.75" customHeight="1">
      <c r="A23" s="39"/>
      <c r="B23" s="3"/>
      <c r="C23" s="43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Y23" s="23"/>
      <c r="AA23" s="40"/>
      <c r="AB23" s="39"/>
      <c r="AC23" s="39"/>
      <c r="AD23" s="39"/>
      <c r="AE23" s="39"/>
      <c r="AF23" s="39"/>
      <c r="AG23" s="39"/>
      <c r="AH23" s="39"/>
      <c r="AI23" s="39"/>
      <c r="AJ23" s="39"/>
      <c r="AT23" s="2"/>
      <c r="AU23" s="23"/>
      <c r="BC23" s="27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28"/>
      <c r="BZ23" s="9"/>
      <c r="CA23" s="9"/>
      <c r="CB23" s="9"/>
    </row>
    <row r="24" spans="1:80" ht="15.75" customHeight="1">
      <c r="A24" s="39"/>
      <c r="B24" s="3"/>
      <c r="C24" s="43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Y24" s="23"/>
      <c r="AA24" s="40"/>
      <c r="AB24" s="39"/>
      <c r="AC24" s="39"/>
      <c r="AD24" s="39"/>
      <c r="AE24" s="39"/>
      <c r="AF24" s="39"/>
      <c r="AG24" s="39"/>
      <c r="AH24" s="39"/>
      <c r="AI24" s="39"/>
      <c r="AJ24" s="39"/>
      <c r="AT24" s="2"/>
      <c r="AU24" s="23"/>
      <c r="BC24" s="27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28"/>
      <c r="BZ24" s="9"/>
      <c r="CA24" s="9"/>
      <c r="CB24" s="9"/>
    </row>
    <row r="25" spans="1:80" ht="15.75" customHeight="1">
      <c r="A25" s="39"/>
      <c r="B25" s="3"/>
      <c r="C25" s="4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Y25" s="23"/>
      <c r="AA25" s="40"/>
      <c r="AB25" s="39"/>
      <c r="AC25" s="39"/>
      <c r="AD25" s="39"/>
      <c r="AU25" s="23"/>
      <c r="BC25" s="27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28"/>
      <c r="BZ25" s="9"/>
      <c r="CA25" s="9"/>
      <c r="CB25" s="9"/>
    </row>
    <row r="26" spans="1:80" ht="15.75" customHeight="1">
      <c r="A26" s="39"/>
      <c r="B26" s="3"/>
      <c r="C26" s="4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W26" s="21" t="s">
        <v>12</v>
      </c>
      <c r="X26" s="58">
        <v>0.2</v>
      </c>
      <c r="Y26" s="23"/>
      <c r="AA26" s="40"/>
      <c r="AB26" s="39"/>
      <c r="AC26" s="39"/>
      <c r="AD26" s="39"/>
      <c r="AE26" s="39"/>
      <c r="AF26" s="39"/>
      <c r="AG26" s="39"/>
      <c r="AH26" s="39"/>
      <c r="AI26" s="39"/>
      <c r="AJ26" s="39"/>
      <c r="AS26" s="21" t="s">
        <v>12</v>
      </c>
      <c r="AT26" s="58">
        <v>0.2</v>
      </c>
      <c r="AU26" s="23"/>
      <c r="BC26" s="27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28"/>
      <c r="BZ26" s="9"/>
      <c r="CA26" s="9"/>
      <c r="CB26" s="9"/>
    </row>
    <row r="27" spans="1:80" ht="15.75" customHeight="1">
      <c r="A27" s="39"/>
      <c r="B27" s="3"/>
      <c r="C27" s="43"/>
      <c r="D27" s="39"/>
      <c r="E27" s="44"/>
      <c r="F27" s="44"/>
      <c r="G27" s="45" t="s">
        <v>13</v>
      </c>
      <c r="H27" s="46">
        <f>IF((X10=1),35.22,(IF((X10=2),2.16,0)))</f>
        <v>2.16</v>
      </c>
      <c r="I27" s="39"/>
      <c r="J27" s="39"/>
      <c r="K27" s="39"/>
      <c r="L27" s="39"/>
      <c r="M27" s="39"/>
      <c r="N27" s="39"/>
      <c r="X27" s="1"/>
      <c r="Y27" s="23"/>
      <c r="AA27" s="40"/>
      <c r="AB27" s="44"/>
      <c r="AC27" s="45" t="s">
        <v>13</v>
      </c>
      <c r="AD27" s="46">
        <f>IF((AT10=1),35.22,(IF((AT10=2),2.16,0)))</f>
        <v>2.16</v>
      </c>
      <c r="AE27" s="39"/>
      <c r="AF27" s="39"/>
      <c r="AG27" s="39"/>
      <c r="AH27" s="39"/>
      <c r="AI27" s="39"/>
      <c r="AJ27" s="39"/>
      <c r="AU27" s="23"/>
      <c r="AV27" s="1"/>
      <c r="AW27" s="1"/>
      <c r="AX27" s="1"/>
      <c r="AY27" s="1"/>
      <c r="AZ27" s="1"/>
      <c r="BC27" s="27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28"/>
      <c r="BZ27" s="9"/>
      <c r="CA27" s="9"/>
      <c r="CB27" s="9"/>
    </row>
    <row r="28" spans="1:80" ht="15.75" customHeight="1">
      <c r="A28" s="39"/>
      <c r="B28" s="3"/>
      <c r="C28" s="43"/>
      <c r="D28" s="39"/>
      <c r="E28" s="44"/>
      <c r="F28" s="44"/>
      <c r="G28" s="45" t="s">
        <v>14</v>
      </c>
      <c r="H28" s="46">
        <f>X11</f>
        <v>5</v>
      </c>
      <c r="I28" s="39"/>
      <c r="J28" s="39"/>
      <c r="K28" s="39"/>
      <c r="L28" s="39"/>
      <c r="M28" s="39"/>
      <c r="N28" s="39"/>
      <c r="Y28" s="23"/>
      <c r="AA28" s="40"/>
      <c r="AB28" s="44"/>
      <c r="AC28" s="45" t="s">
        <v>14</v>
      </c>
      <c r="AD28" s="46">
        <f>AT11</f>
        <v>10</v>
      </c>
      <c r="AU28" s="23"/>
      <c r="AV28" s="1"/>
      <c r="AW28" s="1"/>
      <c r="AX28" s="1"/>
      <c r="AY28" s="1"/>
      <c r="AZ28" s="1"/>
      <c r="BC28" s="27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28"/>
      <c r="BZ28" s="9"/>
      <c r="CA28" s="9"/>
      <c r="CB28" s="9"/>
    </row>
    <row r="29" spans="1:80" ht="15.75" customHeight="1">
      <c r="A29" s="39"/>
      <c r="B29" s="39"/>
      <c r="C29" s="43"/>
      <c r="D29" s="39"/>
      <c r="E29" s="44"/>
      <c r="F29" s="44"/>
      <c r="G29" s="45" t="s">
        <v>15</v>
      </c>
      <c r="H29" s="46">
        <f>X12</f>
        <v>3</v>
      </c>
      <c r="I29" s="39"/>
      <c r="J29" s="39"/>
      <c r="K29" s="39"/>
      <c r="L29" s="39"/>
      <c r="M29" s="39"/>
      <c r="N29" s="39"/>
      <c r="X29" s="47">
        <f>H31</f>
        <v>0.04</v>
      </c>
      <c r="Y29" s="23"/>
      <c r="AA29" s="40"/>
      <c r="AB29" s="44"/>
      <c r="AC29" s="45" t="s">
        <v>15</v>
      </c>
      <c r="AD29" s="46">
        <f>AT12</f>
        <v>3</v>
      </c>
      <c r="AE29" s="39"/>
      <c r="AF29" s="39"/>
      <c r="AG29" s="39"/>
      <c r="AH29" s="39"/>
      <c r="AI29" s="39"/>
      <c r="AJ29" s="39"/>
      <c r="AT29" s="47">
        <f>AD31</f>
        <v>0.04</v>
      </c>
      <c r="AU29" s="23"/>
      <c r="BC29" s="27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48">
        <f>(IF(BX17=1,0.01,IF(BX17=2,0.04,IF(BX17=3,0.12,IF(BX17=4,0.36,0)))))</f>
        <v>0.04</v>
      </c>
      <c r="BY29" s="28"/>
      <c r="BZ29" s="9"/>
      <c r="CA29" s="9"/>
      <c r="CB29" s="9"/>
    </row>
    <row r="30" spans="1:80" ht="15.75" customHeight="1">
      <c r="A30" s="39"/>
      <c r="B30" s="39"/>
      <c r="C30" s="43"/>
      <c r="D30" s="39"/>
      <c r="E30" s="44"/>
      <c r="F30" s="44"/>
      <c r="G30" s="45" t="s">
        <v>16</v>
      </c>
      <c r="H30" s="46">
        <f>H28/H29</f>
        <v>1.6666666666666667</v>
      </c>
      <c r="I30" s="39"/>
      <c r="J30" s="39"/>
      <c r="K30" s="39"/>
      <c r="L30" s="39"/>
      <c r="M30" s="39"/>
      <c r="N30" s="39"/>
      <c r="Y30" s="23"/>
      <c r="AA30" s="40"/>
      <c r="AB30" s="44"/>
      <c r="AC30" s="45" t="s">
        <v>16</v>
      </c>
      <c r="AD30" s="46">
        <f>AD28/AD29</f>
        <v>3.3333333333333335</v>
      </c>
      <c r="AE30" s="39"/>
      <c r="AF30" s="39"/>
      <c r="AG30" s="39"/>
      <c r="AH30" s="39"/>
      <c r="AI30" s="39"/>
      <c r="AJ30" s="39"/>
      <c r="AU30" s="23"/>
      <c r="BC30" s="27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28"/>
      <c r="BZ30" s="9"/>
      <c r="CA30" s="9"/>
      <c r="CB30" s="9"/>
    </row>
    <row r="31" spans="1:80" ht="15.75" customHeight="1">
      <c r="A31" s="39"/>
      <c r="B31" s="39"/>
      <c r="C31" s="43"/>
      <c r="D31" s="39"/>
      <c r="E31" s="44"/>
      <c r="F31" s="44"/>
      <c r="G31" s="45" t="s">
        <v>17</v>
      </c>
      <c r="H31" s="46">
        <f>(IF(X14=1,0.01,IF(X14=2,0.04,IF(X14=3,0.12,IF(X14=4,0.36,0)))))</f>
        <v>0.04</v>
      </c>
      <c r="I31" s="39"/>
      <c r="J31" s="39"/>
      <c r="K31" s="39"/>
      <c r="L31" s="39"/>
      <c r="M31" s="39"/>
      <c r="N31" s="39"/>
      <c r="X31" s="31">
        <f>H36</f>
        <v>0.8420585519598569</v>
      </c>
      <c r="Y31" s="23"/>
      <c r="AA31" s="40"/>
      <c r="AB31" s="44"/>
      <c r="AC31" s="45" t="s">
        <v>17</v>
      </c>
      <c r="AD31" s="46">
        <f>(IF(AT14=1,0.01,IF(AT14=2,0.04,IF(AT14=3,0.12,IF(AT14=4,0.36,0)))))</f>
        <v>0.04</v>
      </c>
      <c r="AE31" s="39"/>
      <c r="AF31" s="39"/>
      <c r="AG31" s="39"/>
      <c r="AH31" s="39"/>
      <c r="AI31" s="39"/>
      <c r="AJ31" s="39"/>
      <c r="AT31" s="31">
        <f>AD36</f>
        <v>1.2902341316100776</v>
      </c>
      <c r="AU31" s="23"/>
      <c r="BC31" s="27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21" t="s">
        <v>18</v>
      </c>
      <c r="BX31" s="58">
        <f>0.15</f>
        <v>0.15</v>
      </c>
      <c r="BY31" s="28"/>
      <c r="BZ31" s="9"/>
      <c r="CA31" s="9"/>
      <c r="CB31" s="9"/>
    </row>
    <row r="32" spans="1:80" ht="15.75" customHeight="1">
      <c r="A32" s="39"/>
      <c r="B32" s="39"/>
      <c r="C32" s="43"/>
      <c r="D32" s="39"/>
      <c r="E32" s="44"/>
      <c r="F32" s="44"/>
      <c r="G32" s="45" t="s">
        <v>19</v>
      </c>
      <c r="H32" s="46">
        <f>(H30/(2.081+(0.121*H30)))^0.672</f>
        <v>0.8094853657646686</v>
      </c>
      <c r="I32" s="39"/>
      <c r="J32" s="39"/>
      <c r="K32" s="39"/>
      <c r="L32" s="39"/>
      <c r="M32" s="39"/>
      <c r="N32" s="39"/>
      <c r="X32" s="49">
        <f>H38</f>
        <v>0.007200000000000001</v>
      </c>
      <c r="Y32" s="23"/>
      <c r="AA32" s="40"/>
      <c r="AB32" s="44"/>
      <c r="AC32" s="45" t="s">
        <v>19</v>
      </c>
      <c r="AD32" s="46">
        <f>(AD30/(2.081+(0.121*AD30)))^0.672</f>
        <v>1.2184100890866534</v>
      </c>
      <c r="AE32" s="39"/>
      <c r="AF32" s="39"/>
      <c r="AG32" s="39"/>
      <c r="AH32" s="39"/>
      <c r="AI32" s="39"/>
      <c r="AJ32" s="39"/>
      <c r="AT32" s="49">
        <f>AD38</f>
        <v>0.007200000000000001</v>
      </c>
      <c r="AU32" s="23"/>
      <c r="BC32" s="27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28"/>
      <c r="BZ32" s="9"/>
      <c r="CA32" s="9"/>
      <c r="CB32" s="9"/>
    </row>
    <row r="33" spans="1:80" ht="15.75" customHeight="1">
      <c r="A33" s="39"/>
      <c r="B33" s="39"/>
      <c r="C33" s="43"/>
      <c r="D33" s="39"/>
      <c r="E33" s="44"/>
      <c r="F33" s="44"/>
      <c r="G33" s="45" t="s">
        <v>20</v>
      </c>
      <c r="H33" s="46">
        <f>(H30/(1.992+(0.091*H30)))^0.683</f>
        <v>0.8420585519598569</v>
      </c>
      <c r="I33" s="39"/>
      <c r="J33" s="39"/>
      <c r="K33" s="39"/>
      <c r="L33" s="39"/>
      <c r="M33" s="39"/>
      <c r="N33" s="39"/>
      <c r="Y33" s="23"/>
      <c r="AA33" s="40"/>
      <c r="AB33" s="44"/>
      <c r="AC33" s="45" t="s">
        <v>20</v>
      </c>
      <c r="AD33" s="46">
        <f>(AD30/(1.992+(0.091*AD30)))^0.683</f>
        <v>1.2902341316100776</v>
      </c>
      <c r="AE33" s="39"/>
      <c r="AF33" s="39"/>
      <c r="AG33" s="39"/>
      <c r="AH33" s="39"/>
      <c r="AI33" s="39"/>
      <c r="AJ33" s="39"/>
      <c r="AU33" s="23"/>
      <c r="BC33" s="27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21" t="s">
        <v>21</v>
      </c>
      <c r="BX33" s="58">
        <f>0.2</f>
        <v>0.2</v>
      </c>
      <c r="BY33" s="28"/>
      <c r="BZ33" s="9"/>
      <c r="CA33" s="9"/>
      <c r="CB33" s="9"/>
    </row>
    <row r="34" spans="1:80" ht="15.75" customHeight="1">
      <c r="A34" s="39"/>
      <c r="B34" s="39"/>
      <c r="C34" s="43"/>
      <c r="D34" s="39"/>
      <c r="E34" s="44"/>
      <c r="F34" s="44"/>
      <c r="G34" s="45" t="s">
        <v>22</v>
      </c>
      <c r="H34" s="46">
        <f>(H30/(2.074+(0.093*H30)))^0.754</f>
        <v>0.8031542569291599</v>
      </c>
      <c r="I34" s="39"/>
      <c r="J34" s="39"/>
      <c r="K34" s="39"/>
      <c r="L34" s="39"/>
      <c r="M34" s="39"/>
      <c r="N34" s="39"/>
      <c r="X34" s="25">
        <f>X35/60</f>
        <v>6.274537375206625E-06</v>
      </c>
      <c r="Y34" s="26" t="s">
        <v>5</v>
      </c>
      <c r="AA34" s="40"/>
      <c r="AB34" s="44"/>
      <c r="AC34" s="45" t="s">
        <v>22</v>
      </c>
      <c r="AD34" s="46">
        <f>(AD30/(2.074+(0.093*AD30)))^0.754</f>
        <v>1.287542758593837</v>
      </c>
      <c r="AE34" s="39"/>
      <c r="AF34" s="39"/>
      <c r="AG34" s="39"/>
      <c r="AH34" s="39"/>
      <c r="AI34" s="39"/>
      <c r="AJ34" s="39"/>
      <c r="AT34" s="25">
        <f>AT35/60</f>
        <v>4.155474583923683E-06</v>
      </c>
      <c r="AU34" s="26" t="s">
        <v>5</v>
      </c>
      <c r="BC34" s="27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28"/>
      <c r="BZ34" s="9"/>
      <c r="CA34" s="9"/>
      <c r="CB34" s="9"/>
    </row>
    <row r="35" spans="1:80" ht="15.75" customHeight="1">
      <c r="A35" s="39"/>
      <c r="B35" s="39"/>
      <c r="C35" s="43"/>
      <c r="D35" s="39"/>
      <c r="E35" s="44"/>
      <c r="F35" s="44"/>
      <c r="G35" s="45" t="s">
        <v>23</v>
      </c>
      <c r="H35" s="46">
        <f>(H30/(2.074+(0.093*H30)))^0.754</f>
        <v>0.8031542569291599</v>
      </c>
      <c r="I35" s="39"/>
      <c r="J35" s="39"/>
      <c r="K35" s="39"/>
      <c r="L35" s="39"/>
      <c r="M35" s="39"/>
      <c r="N35" s="39"/>
      <c r="X35" s="25">
        <f>(((H36*H38)/((2*H39*(H28^2))+(H39*H36*(H29^2))+(2*H39*(H28/H31)))))*60</f>
        <v>0.00037647224251239746</v>
      </c>
      <c r="Y35" s="26" t="s">
        <v>3</v>
      </c>
      <c r="AA35" s="40"/>
      <c r="AB35" s="44"/>
      <c r="AC35" s="45" t="s">
        <v>23</v>
      </c>
      <c r="AD35" s="46">
        <f>(AD30/(2.074+(0.093*AD30)))^0.754</f>
        <v>1.287542758593837</v>
      </c>
      <c r="AE35" s="39"/>
      <c r="AF35" s="39"/>
      <c r="AG35" s="39"/>
      <c r="AH35" s="39"/>
      <c r="AI35" s="39"/>
      <c r="AJ35" s="39"/>
      <c r="AT35" s="25">
        <f>(((AD36*AD38)/((2*AD39*AD28^2)+(AD39*AD36*AD29^2)+(2*AD39*(AD28/AD31)))))*60</f>
        <v>0.000249328475035421</v>
      </c>
      <c r="AU35" s="26" t="s">
        <v>3</v>
      </c>
      <c r="BC35" s="27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31">
        <f>BJ42*BX31/60</f>
        <v>0.0054</v>
      </c>
      <c r="BY35" s="28"/>
      <c r="BZ35" s="9"/>
      <c r="CA35" s="9"/>
      <c r="CB35" s="9"/>
    </row>
    <row r="36" spans="1:80" ht="15.75" customHeight="1">
      <c r="A36" s="39"/>
      <c r="B36" s="39"/>
      <c r="C36" s="43"/>
      <c r="D36" s="39"/>
      <c r="E36" s="44"/>
      <c r="F36" s="44"/>
      <c r="G36" s="45" t="s">
        <v>24</v>
      </c>
      <c r="H36" s="46">
        <f>IF(H31=0.01,H32,IF(H31=0.04,H33,IF(H31=0.12,H34,IF(H31=0.36,H35,0))))</f>
        <v>0.8420585519598569</v>
      </c>
      <c r="I36" s="39"/>
      <c r="J36" s="39"/>
      <c r="K36" s="39"/>
      <c r="L36" s="39"/>
      <c r="M36" s="39"/>
      <c r="N36" s="39"/>
      <c r="X36" s="55">
        <f>X34/100</f>
        <v>6.274537375206625E-08</v>
      </c>
      <c r="Y36" s="26" t="s">
        <v>41</v>
      </c>
      <c r="AA36" s="40"/>
      <c r="AB36" s="44"/>
      <c r="AC36" s="45" t="s">
        <v>24</v>
      </c>
      <c r="AD36" s="46">
        <f>IF(AD31=0.01,AD32,IF(AD31=0.04,AD33,IF(AD31=0.12,AD34,IF(AD31=0.36,AD35,0))))</f>
        <v>1.2902341316100776</v>
      </c>
      <c r="AE36" s="39"/>
      <c r="AF36" s="39"/>
      <c r="AG36" s="39"/>
      <c r="AH36" s="39"/>
      <c r="AI36" s="39"/>
      <c r="AJ36" s="39"/>
      <c r="AT36" s="55">
        <f>AT34/100</f>
        <v>4.155474583923683E-08</v>
      </c>
      <c r="AU36" s="26" t="s">
        <v>40</v>
      </c>
      <c r="BC36" s="27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31"/>
      <c r="BY36" s="28"/>
      <c r="BZ36" s="9"/>
      <c r="CA36" s="9"/>
      <c r="CB36" s="9"/>
    </row>
    <row r="37" spans="1:80" ht="15.75" customHeight="1">
      <c r="A37" s="39"/>
      <c r="B37" s="39"/>
      <c r="C37" s="43"/>
      <c r="D37" s="39"/>
      <c r="E37" s="44"/>
      <c r="F37" s="44"/>
      <c r="G37" s="45" t="s">
        <v>25</v>
      </c>
      <c r="H37" s="50">
        <f>X26</f>
        <v>0.2</v>
      </c>
      <c r="I37" s="39"/>
      <c r="J37" s="39"/>
      <c r="K37" s="39"/>
      <c r="L37" s="39"/>
      <c r="M37" s="39"/>
      <c r="N37" s="39"/>
      <c r="X37" s="25">
        <f>X35*0.393700787</f>
        <v>0.00014821741816078575</v>
      </c>
      <c r="Y37" s="26" t="s">
        <v>7</v>
      </c>
      <c r="AA37" s="40"/>
      <c r="AB37" s="44"/>
      <c r="AC37" s="45" t="s">
        <v>25</v>
      </c>
      <c r="AD37" s="50">
        <f>AT26</f>
        <v>0.2</v>
      </c>
      <c r="AE37" s="39"/>
      <c r="AF37" s="39"/>
      <c r="AG37" s="39"/>
      <c r="AH37" s="39"/>
      <c r="AI37" s="39"/>
      <c r="AJ37" s="39"/>
      <c r="AT37" s="25">
        <f>AT35*0.393700787</f>
        <v>9.81608168429551E-05</v>
      </c>
      <c r="AU37" s="26" t="s">
        <v>7</v>
      </c>
      <c r="BC37" s="27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28"/>
      <c r="BZ37" s="9"/>
      <c r="CA37" s="9"/>
      <c r="CB37" s="9"/>
    </row>
    <row r="38" spans="1:80" ht="15.75" customHeight="1">
      <c r="A38" s="39"/>
      <c r="B38" s="39"/>
      <c r="C38" s="43"/>
      <c r="D38" s="39"/>
      <c r="E38" s="44"/>
      <c r="F38" s="44"/>
      <c r="G38" s="45" t="s">
        <v>26</v>
      </c>
      <c r="H38" s="46">
        <f>H37*H27/60</f>
        <v>0.007200000000000001</v>
      </c>
      <c r="I38" s="39"/>
      <c r="J38" s="39"/>
      <c r="K38" s="39"/>
      <c r="L38" s="39"/>
      <c r="M38" s="39"/>
      <c r="N38" s="39"/>
      <c r="X38" s="25">
        <f>X37/60</f>
        <v>2.4702903026797626E-06</v>
      </c>
      <c r="Y38" s="26" t="s">
        <v>9</v>
      </c>
      <c r="AA38" s="40"/>
      <c r="AB38" s="44"/>
      <c r="AC38" s="45" t="s">
        <v>26</v>
      </c>
      <c r="AD38" s="46">
        <f>AD37*AD27/60</f>
        <v>0.007200000000000001</v>
      </c>
      <c r="AE38" s="39"/>
      <c r="AF38" s="39"/>
      <c r="AG38" s="39"/>
      <c r="AH38" s="39"/>
      <c r="AI38" s="39"/>
      <c r="AJ38" s="39"/>
      <c r="AT38" s="25">
        <f>AT37/60</f>
        <v>1.6360136140492517E-06</v>
      </c>
      <c r="AU38" s="26" t="s">
        <v>9</v>
      </c>
      <c r="BC38" s="40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31">
        <f>BJ42*BX33/60</f>
        <v>0.007200000000000001</v>
      </c>
      <c r="BY38" s="28"/>
      <c r="BZ38" s="9"/>
      <c r="CA38" s="9"/>
      <c r="CB38" s="9"/>
    </row>
    <row r="39" spans="1:80" ht="15.75" customHeight="1">
      <c r="A39" s="39"/>
      <c r="B39" s="39"/>
      <c r="C39" s="43"/>
      <c r="D39" s="39"/>
      <c r="E39" s="44"/>
      <c r="F39" s="44"/>
      <c r="G39" s="45" t="s">
        <v>27</v>
      </c>
      <c r="H39" s="46">
        <v>3.1415</v>
      </c>
      <c r="I39" s="39"/>
      <c r="J39" s="39"/>
      <c r="K39" s="39"/>
      <c r="L39" s="39"/>
      <c r="M39" s="39"/>
      <c r="N39" s="39"/>
      <c r="Y39" s="23"/>
      <c r="AA39" s="40"/>
      <c r="AB39" s="44"/>
      <c r="AC39" s="45" t="s">
        <v>27</v>
      </c>
      <c r="AD39" s="46">
        <v>3.1415</v>
      </c>
      <c r="AE39" s="39"/>
      <c r="AF39" s="39"/>
      <c r="AG39" s="39"/>
      <c r="AH39" s="39"/>
      <c r="AI39" s="39"/>
      <c r="AJ39" s="39"/>
      <c r="AU39" s="23"/>
      <c r="BC39" s="27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28"/>
      <c r="BZ39" s="9"/>
      <c r="CA39" s="9"/>
      <c r="CB39" s="9"/>
    </row>
    <row r="40" spans="1:80" ht="15.75" customHeight="1">
      <c r="A40" s="39"/>
      <c r="B40" s="39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36"/>
      <c r="P40" s="36"/>
      <c r="Q40" s="36"/>
      <c r="R40" s="36"/>
      <c r="S40" s="36"/>
      <c r="T40" s="36"/>
      <c r="U40" s="36"/>
      <c r="V40" s="36"/>
      <c r="W40" s="36"/>
      <c r="X40" s="60">
        <f>(H36*H38)/((((2*H39*H28^2)+(H39*H36*H29^2))*H31)+(2*H39*H28))</f>
        <v>0.0001568634343801656</v>
      </c>
      <c r="Y40" s="37"/>
      <c r="AA40" s="53"/>
      <c r="AB40" s="52"/>
      <c r="AC40" s="52"/>
      <c r="AD40" s="52"/>
      <c r="AE40" s="52"/>
      <c r="AF40" s="52"/>
      <c r="AG40" s="52"/>
      <c r="AH40" s="52"/>
      <c r="AI40" s="52"/>
      <c r="AJ40" s="52"/>
      <c r="AK40" s="36"/>
      <c r="AL40" s="36"/>
      <c r="AM40" s="36"/>
      <c r="AN40" s="36"/>
      <c r="AO40" s="36"/>
      <c r="AP40" s="36"/>
      <c r="AQ40" s="36"/>
      <c r="AR40" s="36"/>
      <c r="AS40" s="36"/>
      <c r="AT40" s="60">
        <f>(AD36*AD38)/((((2*AD39*AD28^2)+(AD39*AD36*AD29^2))*AD31)+(2*AD39*AD28))</f>
        <v>0.00010388686459809207</v>
      </c>
      <c r="AU40" s="37"/>
      <c r="BC40" s="27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31">
        <f>IF(BX17=1,BJ45,IF(BX17=2,BJ47,IF(BX17=3,BJ49,IF(BX17=4,BJ51,0))))</f>
        <v>0.8420585519598569</v>
      </c>
      <c r="BY40" s="28"/>
      <c r="BZ40" s="9"/>
      <c r="CA40" s="9"/>
      <c r="CB40" s="9"/>
    </row>
    <row r="41" spans="1:80" ht="15.75" customHeight="1">
      <c r="A41" s="39"/>
      <c r="B41" s="39"/>
      <c r="C41" s="3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Y41" s="54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P41" s="54"/>
      <c r="AQ41" s="44"/>
      <c r="AU41" s="54"/>
      <c r="BC41" s="27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28"/>
      <c r="BZ41" s="9"/>
      <c r="CA41" s="9"/>
      <c r="CB41" s="9"/>
    </row>
    <row r="42" spans="1:80" ht="15.75" customHeight="1">
      <c r="A42" s="39"/>
      <c r="B42" s="39"/>
      <c r="C42" s="3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Y42" s="54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P42" s="54"/>
      <c r="AQ42" s="44"/>
      <c r="AU42" s="54"/>
      <c r="BC42" s="27"/>
      <c r="BD42" s="9"/>
      <c r="BE42" s="9"/>
      <c r="BF42" s="9"/>
      <c r="BG42" s="44"/>
      <c r="BH42" s="44"/>
      <c r="BI42" s="45" t="s">
        <v>28</v>
      </c>
      <c r="BJ42" s="46">
        <f>IF((BX10=1),35.22,(IF((BX10=2),2.16,0)))</f>
        <v>2.16</v>
      </c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31">
        <f>IF(BX17=1,BJ46,IF(BX17=2,BJ48,IF(BX17=3,BJ50,IF(BX17=4,BJ52,0))))</f>
        <v>1.2902341316100776</v>
      </c>
      <c r="BY42" s="28"/>
      <c r="BZ42" s="9"/>
      <c r="CA42" s="9"/>
      <c r="CB42" s="9"/>
    </row>
    <row r="43" spans="1:80" ht="15.75" customHeight="1">
      <c r="A43" s="39"/>
      <c r="B43" s="39"/>
      <c r="C43" s="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T43" s="39"/>
      <c r="Y43" s="54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P43" s="54"/>
      <c r="AQ43" s="44"/>
      <c r="AU43" s="54"/>
      <c r="BC43" s="27"/>
      <c r="BD43" s="9"/>
      <c r="BE43" s="9"/>
      <c r="BF43" s="9"/>
      <c r="BG43" s="44"/>
      <c r="BH43" s="44"/>
      <c r="BI43" s="45" t="s">
        <v>29</v>
      </c>
      <c r="BJ43" s="44">
        <f>BX12/BX15</f>
        <v>1.6666666666666667</v>
      </c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28"/>
      <c r="BZ43" s="9"/>
      <c r="CA43" s="9"/>
      <c r="CB43" s="9"/>
    </row>
    <row r="44" spans="1:80" ht="15.75" customHeight="1">
      <c r="A44" s="39"/>
      <c r="B44" s="39"/>
      <c r="C44" s="3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T44" s="39"/>
      <c r="Y44" s="54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P44" s="54"/>
      <c r="AQ44" s="44"/>
      <c r="AU44" s="54"/>
      <c r="BC44" s="27"/>
      <c r="BD44" s="9"/>
      <c r="BE44" s="9"/>
      <c r="BF44" s="9"/>
      <c r="BG44" s="44"/>
      <c r="BH44" s="44"/>
      <c r="BI44" s="45" t="s">
        <v>30</v>
      </c>
      <c r="BJ44" s="44">
        <f>BX13/BX15</f>
        <v>3.3333333333333335</v>
      </c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31">
        <f>(BX13*BX40)/((3.1415*(2*BX12*BX13*(BX13-BX12)))+((BX15^2)*(BX12*BX42)-(BX13*BX40)))</f>
        <v>0.005196641411843536</v>
      </c>
      <c r="BY44" s="28"/>
      <c r="BZ44" s="9"/>
      <c r="CA44" s="9"/>
      <c r="CB44" s="9"/>
    </row>
    <row r="45" spans="1:80" ht="15.75" customHeight="1">
      <c r="A45" s="39"/>
      <c r="B45" s="39"/>
      <c r="C45" s="3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T45" s="39"/>
      <c r="Y45" s="54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P45" s="54"/>
      <c r="AQ45" s="44"/>
      <c r="AU45" s="54"/>
      <c r="BC45" s="27"/>
      <c r="BD45" s="9"/>
      <c r="BE45" s="9"/>
      <c r="BF45" s="9"/>
      <c r="BG45" s="44"/>
      <c r="BH45" s="44"/>
      <c r="BI45" s="45" t="s">
        <v>31</v>
      </c>
      <c r="BJ45" s="46">
        <f>(BJ$43/(2.081+(0.121*BJ$43)))^0.672</f>
        <v>0.8094853657646686</v>
      </c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28"/>
      <c r="BZ45" s="9"/>
      <c r="CA45" s="9"/>
      <c r="CB45" s="9"/>
    </row>
    <row r="46" spans="1:80" ht="15.75" customHeight="1">
      <c r="A46" s="39"/>
      <c r="B46" s="39"/>
      <c r="C46" s="3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T46" s="39"/>
      <c r="Y46" s="54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P46" s="54"/>
      <c r="AQ46" s="44"/>
      <c r="AU46" s="54"/>
      <c r="BC46" s="27"/>
      <c r="BD46" s="9"/>
      <c r="BE46" s="9"/>
      <c r="BF46" s="9"/>
      <c r="BG46" s="44"/>
      <c r="BH46" s="44"/>
      <c r="BI46" s="45" t="s">
        <v>32</v>
      </c>
      <c r="BJ46" s="46">
        <f>(BJ$44/(2.081+(0.121*BJ$44)))^0.672</f>
        <v>1.2184100890866534</v>
      </c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31">
        <f>(BX12*BX42)/((3.1415*(2*BX12*BX13*(BX13-BX12)))+((BX15^2)*(BX12*BX42)-(BX13*BX40)))</f>
        <v>0.003981245783736515</v>
      </c>
      <c r="BY46" s="28"/>
      <c r="BZ46" s="9"/>
      <c r="CA46" s="9"/>
      <c r="CB46" s="9"/>
    </row>
    <row r="47" spans="1:80" ht="15.75" customHeight="1">
      <c r="A47" s="39"/>
      <c r="B47" s="39"/>
      <c r="C47" s="3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T47" s="39"/>
      <c r="Y47" s="54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P47" s="54"/>
      <c r="AQ47" s="44"/>
      <c r="AU47" s="54"/>
      <c r="BC47" s="40"/>
      <c r="BD47" s="9"/>
      <c r="BE47" s="9"/>
      <c r="BF47" s="9"/>
      <c r="BG47" s="44"/>
      <c r="BH47" s="44"/>
      <c r="BI47" s="45" t="s">
        <v>33</v>
      </c>
      <c r="BJ47" s="46">
        <f>(BJ$43/(1.992+(0.091*BJ$43)))^0.683</f>
        <v>0.8420585519598569</v>
      </c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28"/>
      <c r="BZ47" s="9"/>
      <c r="CA47" s="9"/>
      <c r="CB47" s="9"/>
    </row>
    <row r="48" spans="1:80" ht="15.75" customHeight="1">
      <c r="A48" s="39"/>
      <c r="B48" s="39"/>
      <c r="C48" s="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T48" s="39"/>
      <c r="Y48" s="54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P48" s="54"/>
      <c r="AQ48" s="44"/>
      <c r="AU48" s="54"/>
      <c r="BC48" s="40"/>
      <c r="BD48" s="9"/>
      <c r="BE48" s="9"/>
      <c r="BF48" s="9"/>
      <c r="BG48" s="44"/>
      <c r="BH48" s="44"/>
      <c r="BI48" s="45" t="s">
        <v>34</v>
      </c>
      <c r="BJ48" s="46">
        <f>(BJ$44/(1.992+(0.091*BJ$44)))^0.683</f>
        <v>1.2902341316100776</v>
      </c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31">
        <f>(((2*BX13^2)+(BX15^2*BX42))*BX40)/(2*3.1415*((2*BX12*BX13*(BX13-BX12))+(BX15^2*((BX12*BX42)-(BX13*BX40)))))</f>
        <v>0.058805880027776244</v>
      </c>
      <c r="BY48" s="28"/>
      <c r="BZ48" s="9"/>
      <c r="CA48" s="9"/>
      <c r="CB48" s="9"/>
    </row>
    <row r="49" spans="1:80" ht="15.75" customHeight="1">
      <c r="A49" s="39"/>
      <c r="B49" s="39"/>
      <c r="C49" s="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T49" s="39"/>
      <c r="Y49" s="54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P49" s="54"/>
      <c r="AQ49" s="44"/>
      <c r="AU49" s="54"/>
      <c r="BC49" s="40"/>
      <c r="BD49" s="9"/>
      <c r="BE49" s="9"/>
      <c r="BF49" s="9"/>
      <c r="BG49" s="44"/>
      <c r="BH49" s="44"/>
      <c r="BI49" s="45" t="s">
        <v>35</v>
      </c>
      <c r="BJ49" s="46">
        <f>(BJ$43/(2.074+(0.093*BJ$43)))^0.754</f>
        <v>0.8031542569291599</v>
      </c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28"/>
      <c r="BZ49" s="9"/>
      <c r="CA49" s="9"/>
      <c r="CB49" s="9"/>
    </row>
    <row r="50" spans="1:80" ht="15.75" customHeight="1">
      <c r="A50" s="39"/>
      <c r="B50" s="39"/>
      <c r="C50" s="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T50" s="39"/>
      <c r="Y50" s="54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P50" s="54"/>
      <c r="AQ50" s="44"/>
      <c r="AU50" s="54"/>
      <c r="BC50" s="40"/>
      <c r="BD50" s="9"/>
      <c r="BE50" s="9"/>
      <c r="BF50" s="9"/>
      <c r="BG50" s="44"/>
      <c r="BH50" s="44"/>
      <c r="BI50" s="45" t="s">
        <v>36</v>
      </c>
      <c r="BJ50" s="46">
        <f>(BJ$44/(2.074+(0.093*BJ$44)))^0.754</f>
        <v>1.287542758593837</v>
      </c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31">
        <f>(((2*BX12^2)+(BX15^2*BX40))*BX42)/(2*3.1415*((2*BX12*BX13*(BX13-BX12))+(BX15^2*((BX12*BX42)-(BX13*BX40)))))</f>
        <v>0.024516983083702645</v>
      </c>
      <c r="BY50" s="28"/>
      <c r="BZ50" s="9"/>
      <c r="CA50" s="9"/>
      <c r="CB50" s="9"/>
    </row>
    <row r="51" spans="1:80" ht="15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T51" s="39"/>
      <c r="Y51" s="54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P51" s="54"/>
      <c r="AQ51" s="44"/>
      <c r="AU51" s="54"/>
      <c r="BC51" s="40"/>
      <c r="BD51" s="9"/>
      <c r="BE51" s="9"/>
      <c r="BF51" s="9"/>
      <c r="BG51" s="44"/>
      <c r="BH51" s="44"/>
      <c r="BI51" s="45" t="s">
        <v>37</v>
      </c>
      <c r="BJ51" s="46">
        <f>(BJ$43/(2.074+(0.093*BJ$43)))^0.754</f>
        <v>0.8031542569291599</v>
      </c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Y51" s="23"/>
      <c r="BZ51" s="9"/>
      <c r="CA51" s="9"/>
      <c r="CB51" s="9"/>
    </row>
    <row r="52" spans="1:80" ht="15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T52" s="39"/>
      <c r="Y52" s="54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P52" s="54"/>
      <c r="AQ52" s="44"/>
      <c r="AU52" s="54"/>
      <c r="BC52" s="40"/>
      <c r="BD52" s="9"/>
      <c r="BE52" s="9"/>
      <c r="BF52" s="9"/>
      <c r="BG52" s="44"/>
      <c r="BH52" s="44"/>
      <c r="BI52" s="45" t="s">
        <v>38</v>
      </c>
      <c r="BJ52" s="46">
        <f>(BJ$44/(2.074+(0.093*BJ$44)))^0.754</f>
        <v>1.287542758593837</v>
      </c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55">
        <f>(BX46*BX38)-(BX44*BX35)</f>
        <v>6.031060189478161E-07</v>
      </c>
      <c r="BY52" s="26" t="s">
        <v>5</v>
      </c>
      <c r="BZ52" s="9"/>
      <c r="CA52" s="9"/>
      <c r="CB52" s="9"/>
    </row>
    <row r="53" spans="1:80" ht="15.7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T53" s="39"/>
      <c r="Y53" s="54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P53" s="54"/>
      <c r="AQ53" s="44"/>
      <c r="AU53" s="54"/>
      <c r="BC53" s="40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X53" s="25">
        <f>BX52*60</f>
        <v>3.618636113686897E-05</v>
      </c>
      <c r="BY53" s="26" t="s">
        <v>3</v>
      </c>
      <c r="BZ53" s="9"/>
      <c r="CA53" s="9"/>
      <c r="CB53" s="9"/>
    </row>
    <row r="54" spans="1:80" ht="15.7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T54" s="39"/>
      <c r="U54" s="44"/>
      <c r="V54" s="44"/>
      <c r="W54" s="44"/>
      <c r="X54" s="44"/>
      <c r="Y54" s="54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P54" s="39"/>
      <c r="AQ54" s="44"/>
      <c r="AR54" s="44"/>
      <c r="AS54" s="44"/>
      <c r="AT54" s="44"/>
      <c r="BC54" s="40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X54" s="59">
        <f>BX52/100</f>
        <v>6.031060189478161E-09</v>
      </c>
      <c r="BY54" s="26" t="s">
        <v>41</v>
      </c>
      <c r="BZ54" s="9"/>
      <c r="CA54" s="9"/>
      <c r="CB54" s="9"/>
    </row>
    <row r="55" spans="1:80" ht="15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T55" s="39"/>
      <c r="X55" s="1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P55" s="39"/>
      <c r="BC55" s="40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25">
        <f>BX53*0.393700787</f>
        <v>1.4246598858251527E-05</v>
      </c>
      <c r="BY55" s="26" t="s">
        <v>7</v>
      </c>
      <c r="BZ55" s="9"/>
      <c r="CA55" s="9"/>
      <c r="CB55" s="9"/>
    </row>
    <row r="56" spans="1:80" ht="15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T56" s="39"/>
      <c r="X56" s="1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P56" s="39"/>
      <c r="BC56" s="40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25">
        <f>BX55/60</f>
        <v>2.3744331430419213E-07</v>
      </c>
      <c r="BY56" s="26" t="s">
        <v>9</v>
      </c>
      <c r="BZ56" s="9"/>
      <c r="CA56" s="9"/>
      <c r="CB56" s="9"/>
    </row>
    <row r="57" spans="1:80" ht="15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AD57" s="3"/>
      <c r="BC57" s="40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Y57" s="28"/>
      <c r="BZ57" s="9"/>
      <c r="CA57" s="9"/>
      <c r="CB57" s="9"/>
    </row>
    <row r="58" spans="1:80" ht="15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AD58" s="3"/>
      <c r="BC58" s="53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61">
        <f>(BX48*BX35)-(BX50*BX38)</f>
        <v>0.00014102947394733267</v>
      </c>
      <c r="BY58" s="57"/>
      <c r="BZ58" s="9"/>
      <c r="CA58" s="9"/>
      <c r="CB58" s="9"/>
    </row>
    <row r="59" spans="1:80" ht="15.7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AD59" s="3"/>
      <c r="BC59" s="3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Y59" s="9"/>
      <c r="BZ59" s="9"/>
      <c r="CA59" s="9"/>
      <c r="CB59" s="9"/>
    </row>
    <row r="60" spans="1:80" ht="15.7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AD60" s="3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Y60" s="9"/>
      <c r="BZ60" s="9"/>
      <c r="CA60" s="9"/>
      <c r="CB60" s="9"/>
    </row>
    <row r="61" spans="1:80" ht="15.75" customHeight="1">
      <c r="A61" s="39"/>
      <c r="B61" s="39"/>
      <c r="AD61" s="3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Y61" s="9"/>
      <c r="BZ61" s="9"/>
      <c r="CA61" s="9"/>
      <c r="CB61" s="9"/>
    </row>
    <row r="62" spans="1:80" ht="15.75" customHeight="1">
      <c r="A62" s="39"/>
      <c r="B62" s="39"/>
      <c r="AD62" s="3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Y62" s="9"/>
      <c r="BZ62" s="9"/>
      <c r="CA62" s="9"/>
      <c r="CB62" s="9"/>
    </row>
    <row r="63" spans="30:80" ht="15.75" customHeight="1">
      <c r="AD63" s="3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Y63" s="9"/>
      <c r="BZ63" s="9"/>
      <c r="CA63" s="9"/>
      <c r="CB63" s="9"/>
    </row>
    <row r="64" spans="55:80" ht="15.75" customHeight="1"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Y64" s="9"/>
      <c r="BZ64" s="9"/>
      <c r="CA64" s="9"/>
      <c r="CB64" s="9"/>
    </row>
    <row r="65" spans="55:80" ht="15.75" customHeight="1"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Y65" s="9"/>
      <c r="BZ65" s="9"/>
      <c r="CA65" s="9"/>
      <c r="CB65" s="9"/>
    </row>
    <row r="66" spans="55:80" ht="15.75" customHeight="1"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Y66" s="9"/>
      <c r="BZ66" s="9"/>
      <c r="CA66" s="9"/>
      <c r="CB66" s="9"/>
    </row>
    <row r="67" spans="55:80" ht="15.75" customHeight="1"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Y67" s="9"/>
      <c r="BZ67" s="9"/>
      <c r="CA67" s="9"/>
      <c r="CB67" s="9"/>
    </row>
    <row r="68" spans="55:80" ht="15.75" customHeight="1"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Y68" s="9"/>
      <c r="BZ68" s="9"/>
      <c r="CA68" s="9"/>
      <c r="CB68" s="9"/>
    </row>
    <row r="69" spans="55:80" ht="15.75" customHeight="1"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Y69" s="9"/>
      <c r="BZ69" s="9"/>
      <c r="CA69" s="9"/>
      <c r="CB69" s="9"/>
    </row>
    <row r="70" spans="55:80" ht="15.75" customHeight="1">
      <c r="BC70" s="9"/>
      <c r="BD70" s="9"/>
      <c r="CB70" s="9"/>
    </row>
    <row r="71" spans="55:80" ht="15.75" customHeight="1">
      <c r="BC71" s="9"/>
      <c r="BD71" s="9"/>
      <c r="CB71" s="9"/>
    </row>
    <row r="72" spans="55:80" ht="15.75" customHeight="1"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</sheetData>
  <sheetProtection/>
  <printOptions/>
  <pageMargins left="0.7" right="0.7" top="0.75" bottom="0.75" header="0.3" footer="0.3"/>
  <pageSetup fitToHeight="1" fitToWidth="1" horizontalDpi="600" verticalDpi="600" orientation="landscape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jbuck</dc:creator>
  <cp:keywords/>
  <dc:description/>
  <cp:lastModifiedBy>Inge Faldager</cp:lastModifiedBy>
  <cp:lastPrinted>2012-02-27T20:30:18Z</cp:lastPrinted>
  <dcterms:created xsi:type="dcterms:W3CDTF">2005-08-24T12:29:33Z</dcterms:created>
  <dcterms:modified xsi:type="dcterms:W3CDTF">2012-09-19T07:10:30Z</dcterms:modified>
  <cp:category/>
  <cp:version/>
  <cp:contentType/>
  <cp:contentStatus/>
</cp:coreProperties>
</file>